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восстановленная'!$C$184:$H$185</definedName>
  </definedNames>
  <calcPr calcId="162913"/>
</workbook>
</file>

<file path=xl/calcChain.xml><?xml version="1.0" encoding="utf-8"?>
<calcChain xmlns="http://schemas.openxmlformats.org/spreadsheetml/2006/main">
  <c r="J166" i="1" l="1"/>
  <c r="F172" i="1" l="1"/>
  <c r="J172" i="1" s="1"/>
  <c r="F107" i="1"/>
  <c r="J107" i="1" s="1"/>
  <c r="F79" i="1"/>
  <c r="J79" i="1" s="1"/>
  <c r="F91" i="1"/>
  <c r="J91" i="1" s="1"/>
  <c r="E91" i="1"/>
  <c r="F105" i="1"/>
  <c r="J105" i="1" s="1"/>
  <c r="E105" i="1"/>
  <c r="F115" i="1"/>
  <c r="J115" i="1" s="1"/>
  <c r="E115" i="1"/>
  <c r="F64" i="1"/>
  <c r="J64" i="1" s="1"/>
  <c r="E64" i="1"/>
  <c r="F123" i="1"/>
  <c r="J123" i="1" s="1"/>
  <c r="J198" i="1"/>
  <c r="J155" i="1"/>
  <c r="F168" i="1"/>
  <c r="J168" i="1" s="1"/>
  <c r="E142" i="1"/>
  <c r="S142" i="1"/>
  <c r="S95" i="1"/>
  <c r="F95" i="1" s="1"/>
  <c r="J95" i="1" s="1"/>
  <c r="E95" i="1"/>
  <c r="S71" i="1"/>
  <c r="S61" i="1"/>
  <c r="F61" i="1" s="1"/>
  <c r="J61" i="1" s="1"/>
  <c r="E61" i="1"/>
  <c r="S56" i="1"/>
  <c r="S48" i="1"/>
  <c r="S47" i="1"/>
  <c r="S112" i="1" l="1"/>
  <c r="S82" i="1"/>
  <c r="F126" i="1" l="1"/>
  <c r="J126" i="1" s="1"/>
  <c r="E126" i="1"/>
  <c r="F162" i="1"/>
  <c r="J162" i="1" s="1"/>
  <c r="F170" i="1"/>
  <c r="J170" i="1" s="1"/>
  <c r="E170" i="1"/>
  <c r="J203" i="1" l="1"/>
  <c r="J202" i="1"/>
  <c r="J201" i="1"/>
  <c r="J200" i="1"/>
  <c r="J197" i="1"/>
  <c r="J192" i="1"/>
  <c r="J191" i="1"/>
  <c r="J189" i="1"/>
  <c r="J188" i="1"/>
  <c r="J187" i="1"/>
  <c r="J186" i="1"/>
  <c r="J205" i="1" l="1"/>
  <c r="N186" i="1" s="1"/>
  <c r="S94" i="1"/>
  <c r="S43" i="1" l="1"/>
  <c r="J43" i="1" s="1"/>
  <c r="F163" i="1" l="1"/>
  <c r="J163" i="1" s="1"/>
  <c r="E140" i="1"/>
  <c r="F164" i="1" l="1"/>
  <c r="E141" i="1" l="1"/>
  <c r="F142" i="1"/>
  <c r="S76" i="1" l="1"/>
  <c r="F76" i="1" s="1"/>
  <c r="J76" i="1" s="1"/>
  <c r="E76" i="1"/>
  <c r="E27" i="1"/>
  <c r="E23" i="1"/>
  <c r="S27" i="1"/>
  <c r="F27" i="1" s="1"/>
  <c r="J27" i="1" s="1"/>
  <c r="S23" i="1"/>
  <c r="F23" i="1" s="1"/>
  <c r="J23" i="1" s="1"/>
  <c r="F140" i="1"/>
  <c r="J140" i="1" s="1"/>
  <c r="F71" i="1"/>
  <c r="J71" i="1" s="1"/>
  <c r="E71" i="1"/>
  <c r="F92" i="1"/>
  <c r="J92" i="1" s="1"/>
  <c r="E92" i="1"/>
  <c r="S40" i="1" l="1"/>
  <c r="E153" i="1" l="1"/>
  <c r="S153" i="1"/>
  <c r="F153" i="1" s="1"/>
  <c r="J153" i="1" s="1"/>
  <c r="S87" i="1" l="1"/>
  <c r="S60" i="1" l="1"/>
  <c r="S104" i="1" l="1"/>
  <c r="F87" i="1" l="1"/>
  <c r="J87" i="1" s="1"/>
  <c r="E87" i="1"/>
  <c r="E97" i="1" l="1"/>
  <c r="S97" i="1"/>
  <c r="F97" i="1" s="1"/>
  <c r="J97" i="1" s="1"/>
  <c r="S53" i="1" l="1"/>
  <c r="F53" i="1" s="1"/>
  <c r="J53" i="1" s="1"/>
  <c r="E53" i="1"/>
  <c r="E169" i="1" l="1"/>
  <c r="E154" i="1"/>
  <c r="F112" i="1" l="1"/>
  <c r="J112" i="1" s="1"/>
  <c r="E112" i="1"/>
  <c r="J132" i="1" l="1"/>
  <c r="E132" i="1"/>
  <c r="F154" i="1"/>
  <c r="J154" i="1" s="1"/>
  <c r="F171" i="1"/>
  <c r="J171" i="1" s="1"/>
  <c r="F169" i="1"/>
  <c r="J169" i="1" s="1"/>
  <c r="F82" i="1" l="1"/>
  <c r="J82" i="1" s="1"/>
  <c r="E82" i="1"/>
  <c r="F136" i="1"/>
  <c r="J136" i="1" s="1"/>
  <c r="E136" i="1"/>
  <c r="S84" i="1"/>
  <c r="F84" i="1" s="1"/>
  <c r="J84" i="1" s="1"/>
  <c r="E84" i="1"/>
  <c r="S133" i="1" l="1"/>
  <c r="E139" i="1" l="1"/>
  <c r="E138" i="1"/>
  <c r="S88" i="1"/>
  <c r="E86" i="1"/>
  <c r="S83" i="1"/>
  <c r="E83" i="1"/>
  <c r="F144" i="1"/>
  <c r="J144" i="1" s="1"/>
  <c r="E144" i="1"/>
  <c r="F125" i="1"/>
  <c r="J125" i="1" s="1"/>
  <c r="E125" i="1"/>
  <c r="S102" i="1"/>
  <c r="J102" i="1" s="1"/>
  <c r="S86" i="1" l="1"/>
  <c r="E94" i="1"/>
  <c r="F94" i="1"/>
  <c r="J94" i="1" s="1"/>
  <c r="E157" i="1" l="1"/>
  <c r="E156" i="1"/>
  <c r="S157" i="1"/>
  <c r="F156" i="1"/>
  <c r="J156" i="1" s="1"/>
  <c r="E104" i="1" l="1"/>
  <c r="F86" i="1" l="1"/>
  <c r="J86" i="1" s="1"/>
  <c r="S113" i="1" l="1"/>
  <c r="F113" i="1" s="1"/>
  <c r="J113" i="1" s="1"/>
  <c r="E113" i="1"/>
  <c r="S108" i="1"/>
  <c r="F108" i="1" s="1"/>
  <c r="J108" i="1" s="1"/>
  <c r="E108" i="1"/>
  <c r="F48" i="1"/>
  <c r="J48" i="1" s="1"/>
  <c r="E48" i="1"/>
  <c r="F104" i="1" l="1"/>
  <c r="J104" i="1" s="1"/>
  <c r="F83" i="1"/>
  <c r="J83" i="1" s="1"/>
  <c r="E60" i="1" l="1"/>
  <c r="F56" i="1" l="1"/>
  <c r="E110" i="1"/>
  <c r="E55" i="1" l="1"/>
  <c r="E39" i="1"/>
  <c r="E40" i="1"/>
  <c r="S110" i="1"/>
  <c r="F110" i="1" s="1"/>
  <c r="J110" i="1" s="1"/>
  <c r="F60" i="1"/>
  <c r="J60" i="1" s="1"/>
  <c r="K181" i="1" l="1"/>
  <c r="M181" i="1"/>
  <c r="F157" i="1" l="1"/>
  <c r="J157" i="1" s="1"/>
  <c r="F134" i="1"/>
  <c r="J134" i="1" s="1"/>
  <c r="E134" i="1"/>
  <c r="S55" i="1"/>
  <c r="F55" i="1" s="1"/>
  <c r="J55" i="1" s="1"/>
  <c r="S50" i="1" l="1"/>
  <c r="Q181" i="1" l="1"/>
  <c r="S68" i="1" l="1"/>
  <c r="S99" i="1"/>
  <c r="F99" i="1" s="1"/>
  <c r="J99" i="1" s="1"/>
  <c r="S75" i="1"/>
  <c r="F75" i="1" s="1"/>
  <c r="J75" i="1" s="1"/>
  <c r="E75" i="1"/>
  <c r="S73" i="1"/>
  <c r="E146" i="1" l="1"/>
  <c r="E99" i="1"/>
  <c r="F88" i="1"/>
  <c r="J88" i="1" s="1"/>
  <c r="E88" i="1"/>
  <c r="F68" i="1" l="1"/>
  <c r="J68" i="1" s="1"/>
  <c r="E68" i="1"/>
  <c r="E117" i="1"/>
  <c r="F117" i="1"/>
  <c r="J117" i="1" s="1"/>
  <c r="S77" i="1"/>
  <c r="F73" i="1"/>
  <c r="J73" i="1" s="1"/>
  <c r="E73" i="1"/>
  <c r="E180" i="1" l="1"/>
  <c r="F180" i="1" l="1"/>
  <c r="J180" i="1" s="1"/>
  <c r="E14" i="1"/>
  <c r="E9" i="1"/>
  <c r="F14" i="1"/>
  <c r="J14" i="1" s="1"/>
  <c r="F20" i="1"/>
  <c r="J20" i="1" s="1"/>
  <c r="J165" i="1"/>
  <c r="E56" i="1" l="1"/>
  <c r="F109" i="1" l="1"/>
  <c r="J109" i="1" s="1"/>
  <c r="E109" i="1"/>
  <c r="F139" i="1" l="1"/>
  <c r="J139" i="1" s="1"/>
  <c r="F138" i="1"/>
  <c r="J138" i="1" s="1"/>
  <c r="F103" i="1"/>
  <c r="J103" i="1" s="1"/>
  <c r="E103" i="1"/>
  <c r="E147" i="1" l="1"/>
  <c r="F147" i="1"/>
  <c r="J147" i="1" s="1"/>
  <c r="J164" i="1"/>
  <c r="F40" i="1" l="1"/>
  <c r="J40" i="1" s="1"/>
  <c r="S54" i="1"/>
  <c r="F54" i="1" l="1"/>
  <c r="J54" i="1" s="1"/>
  <c r="E54" i="1"/>
  <c r="E145" i="1" l="1"/>
  <c r="F47" i="1" l="1"/>
  <c r="J47" i="1" s="1"/>
  <c r="E47" i="1"/>
  <c r="E143" i="1" l="1"/>
  <c r="F146" i="1" l="1"/>
  <c r="J146" i="1" s="1"/>
  <c r="F129" i="1" l="1"/>
  <c r="J129" i="1" s="1"/>
  <c r="E129" i="1"/>
  <c r="F161" i="1" l="1"/>
  <c r="J161" i="1" s="1"/>
  <c r="F145" i="1" l="1"/>
  <c r="J145" i="1" s="1"/>
  <c r="S111" i="1" l="1"/>
  <c r="O9" i="1" l="1"/>
  <c r="O181" i="1" s="1"/>
  <c r="S62" i="1" l="1"/>
  <c r="F133" i="1" l="1"/>
  <c r="E133" i="1"/>
  <c r="F111" i="1"/>
  <c r="E111" i="1"/>
  <c r="J111" i="1" l="1"/>
  <c r="J133" i="1"/>
  <c r="E62" i="1"/>
  <c r="F62" i="1" l="1"/>
  <c r="J62" i="1" l="1"/>
  <c r="E101" i="1" l="1"/>
  <c r="F101" i="1"/>
  <c r="J101" i="1" l="1"/>
  <c r="J81" i="1" l="1"/>
  <c r="J106" i="1"/>
  <c r="S152" i="1" l="1"/>
  <c r="F152" i="1" s="1"/>
  <c r="E152" i="1"/>
  <c r="E158" i="1"/>
  <c r="E173" i="1"/>
  <c r="F173" i="1"/>
  <c r="E176" i="1"/>
  <c r="F176" i="1"/>
  <c r="E177" i="1"/>
  <c r="F177" i="1"/>
  <c r="E178" i="1"/>
  <c r="F178" i="1"/>
  <c r="E179" i="1"/>
  <c r="F179" i="1"/>
  <c r="S160" i="1" l="1"/>
  <c r="F160" i="1" s="1"/>
  <c r="S70" i="1" l="1"/>
  <c r="J56" i="1" l="1"/>
  <c r="E66" i="1"/>
  <c r="E70" i="1"/>
  <c r="S127" i="1"/>
  <c r="F127" i="1" l="1"/>
  <c r="E122" i="1" l="1"/>
  <c r="F122" i="1"/>
  <c r="J122" i="1" l="1"/>
  <c r="F120" i="1"/>
  <c r="E120" i="1"/>
  <c r="J120" i="1" l="1"/>
  <c r="J127" i="1" l="1"/>
  <c r="E127" i="1"/>
  <c r="S66" i="1" l="1"/>
  <c r="F66" i="1" s="1"/>
  <c r="S158" i="1" l="1"/>
  <c r="F158" i="1" s="1"/>
  <c r="F9" i="1" l="1"/>
  <c r="J9" i="1" l="1"/>
  <c r="F70" i="1"/>
  <c r="E44" i="1"/>
  <c r="S44" i="1"/>
  <c r="E77" i="1"/>
  <c r="F77" i="1"/>
  <c r="E80" i="1"/>
  <c r="F80" i="1"/>
  <c r="E98" i="1"/>
  <c r="S98" i="1"/>
  <c r="F98" i="1" s="1"/>
  <c r="E114" i="1"/>
  <c r="F114" i="1"/>
  <c r="E116" i="1"/>
  <c r="F116" i="1"/>
  <c r="E118" i="1"/>
  <c r="F118" i="1"/>
  <c r="E121" i="1"/>
  <c r="F121" i="1"/>
  <c r="J152" i="1"/>
  <c r="J158" i="1"/>
  <c r="J160" i="1"/>
  <c r="J173" i="1"/>
  <c r="J176" i="1"/>
  <c r="J177" i="1"/>
  <c r="J178" i="1"/>
  <c r="J179" i="1"/>
  <c r="S181" i="1" l="1"/>
  <c r="J50" i="1"/>
  <c r="J66" i="1"/>
  <c r="J80" i="1"/>
  <c r="J116" i="1"/>
  <c r="J118" i="1"/>
  <c r="J70" i="1"/>
  <c r="J114" i="1"/>
  <c r="J121" i="1"/>
  <c r="J98" i="1"/>
  <c r="J77" i="1"/>
  <c r="F44" i="1"/>
  <c r="F181" i="1" s="1"/>
  <c r="U181" i="1" l="1"/>
  <c r="J44" i="1"/>
  <c r="J181" i="1" s="1"/>
  <c r="M187" i="1" s="1"/>
</calcChain>
</file>

<file path=xl/sharedStrings.xml><?xml version="1.0" encoding="utf-8"?>
<sst xmlns="http://schemas.openxmlformats.org/spreadsheetml/2006/main" count="930" uniqueCount="223">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</sst>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42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3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66" fontId="17" fillId="0" borderId="107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29" fillId="0" borderId="220" xfId="0" applyNumberFormat="1" applyFont="1" applyFill="1" applyBorder="1" applyAlignment="1">
      <alignment horizontal="right" vertical="center"/>
    </xf>
    <xf numFmtId="167" fontId="17" fillId="0" borderId="221" xfId="0" applyNumberFormat="1" applyFont="1" applyFill="1" applyBorder="1" applyAlignment="1">
      <alignment horizontal="center" vertical="center"/>
    </xf>
    <xf numFmtId="1" fontId="17" fillId="4" borderId="222" xfId="0" applyNumberFormat="1" applyFont="1" applyFill="1" applyBorder="1" applyAlignment="1">
      <alignment horizontal="center" vertical="center"/>
    </xf>
    <xf numFmtId="1" fontId="44" fillId="0" borderId="221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3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4" xfId="0" applyNumberFormat="1" applyFont="1" applyFill="1" applyBorder="1" applyAlignment="1">
      <alignment horizontal="right" shrinkToFit="1"/>
    </xf>
    <xf numFmtId="167" fontId="28" fillId="5" borderId="225" xfId="0" applyNumberFormat="1" applyFont="1" applyFill="1" applyBorder="1" applyAlignment="1">
      <alignment horizontal="right" vertical="center" shrinkToFit="1"/>
    </xf>
    <xf numFmtId="1" fontId="41" fillId="2" borderId="224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1" fontId="17" fillId="0" borderId="227" xfId="0" applyNumberFormat="1" applyFont="1" applyFill="1" applyBorder="1" applyAlignment="1">
      <alignment horizontal="center" vertical="center"/>
    </xf>
    <xf numFmtId="1" fontId="17" fillId="4" borderId="229" xfId="0" applyNumberFormat="1" applyFont="1" applyFill="1" applyBorder="1" applyAlignment="1">
      <alignment horizontal="center" vertical="center"/>
    </xf>
    <xf numFmtId="1" fontId="44" fillId="0" borderId="230" xfId="0" applyNumberFormat="1" applyFont="1" applyFill="1" applyBorder="1" applyAlignment="1">
      <alignment horizontal="center" vertical="center"/>
    </xf>
    <xf numFmtId="1" fontId="41" fillId="0" borderId="224" xfId="0" applyNumberFormat="1" applyFont="1" applyFill="1" applyBorder="1" applyAlignment="1">
      <alignment horizontal="right" vertical="center"/>
    </xf>
    <xf numFmtId="167" fontId="41" fillId="0" borderId="228" xfId="0" applyNumberFormat="1" applyFont="1" applyFill="1" applyBorder="1" applyAlignment="1">
      <alignment horizontal="center" vertical="center"/>
    </xf>
    <xf numFmtId="0" fontId="17" fillId="0" borderId="226" xfId="0" applyFont="1" applyFill="1" applyBorder="1" applyAlignment="1">
      <alignment horizontal="center" vertical="center"/>
    </xf>
    <xf numFmtId="166" fontId="17" fillId="0" borderId="231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32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32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01" xfId="0" applyNumberFormat="1" applyFont="1" applyFill="1" applyBorder="1" applyAlignment="1">
      <alignment horizontal="left" vertical="center" shrinkToFit="1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32" xfId="0" applyNumberFormat="1" applyFont="1" applyFill="1" applyBorder="1" applyAlignment="1">
      <alignment horizontal="right" vertical="center" shrinkToFit="1"/>
    </xf>
    <xf numFmtId="1" fontId="17" fillId="4" borderId="232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4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3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5" xfId="0" applyNumberFormat="1" applyFont="1" applyFill="1" applyBorder="1" applyAlignment="1">
      <alignment horizontal="center" vertical="center" wrapText="1" shrinkToFit="1"/>
    </xf>
    <xf numFmtId="2" fontId="24" fillId="0" borderId="236" xfId="0" applyNumberFormat="1" applyFont="1" applyFill="1" applyBorder="1" applyAlignment="1">
      <alignment vertical="center" shrinkToFit="1"/>
    </xf>
    <xf numFmtId="49" fontId="24" fillId="0" borderId="237" xfId="0" applyNumberFormat="1" applyFont="1" applyFill="1" applyBorder="1" applyAlignment="1">
      <alignment horizontal="center" vertical="center" shrinkToFit="1"/>
    </xf>
    <xf numFmtId="3" fontId="30" fillId="0" borderId="236" xfId="0" applyNumberFormat="1" applyFont="1" applyFill="1" applyBorder="1" applyAlignment="1">
      <alignment horizontal="center" vertical="center" shrinkToFit="1"/>
    </xf>
    <xf numFmtId="166" fontId="30" fillId="0" borderId="238" xfId="0" applyNumberFormat="1" applyFont="1" applyFill="1" applyBorder="1" applyAlignment="1">
      <alignment horizontal="right" vertical="center" shrinkToFit="1"/>
    </xf>
    <xf numFmtId="3" fontId="30" fillId="10" borderId="239" xfId="0" applyNumberFormat="1" applyFont="1" applyFill="1" applyBorder="1" applyAlignment="1">
      <alignment horizontal="right" vertical="center" shrinkToFit="1"/>
    </xf>
    <xf numFmtId="0" fontId="31" fillId="0" borderId="240" xfId="0" applyFont="1" applyFill="1" applyBorder="1" applyAlignment="1">
      <alignment horizontal="left" vertical="center"/>
    </xf>
    <xf numFmtId="0" fontId="32" fillId="0" borderId="241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3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1"/>
  <sheetViews>
    <sheetView tabSelected="1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X55" sqref="X55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40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348" t="s">
        <v>0</v>
      </c>
      <c r="B1" s="1348"/>
      <c r="C1" s="1348"/>
      <c r="D1" s="82"/>
      <c r="E1" s="8"/>
      <c r="F1" s="9"/>
      <c r="G1" s="10"/>
      <c r="H1" s="11"/>
      <c r="I1" s="12"/>
      <c r="L1" s="639"/>
    </row>
    <row r="2" spans="1:21" ht="50.25" customHeight="1">
      <c r="A2" s="1349" t="s">
        <v>1</v>
      </c>
      <c r="B2" s="1349"/>
      <c r="C2" s="1349"/>
      <c r="D2" s="83"/>
      <c r="E2" s="13"/>
      <c r="F2" s="14"/>
      <c r="G2" s="15"/>
      <c r="H2" s="16"/>
      <c r="I2" s="17"/>
      <c r="Q2" s="18"/>
    </row>
    <row r="3" spans="1:21" ht="16.5" customHeight="1" thickBot="1">
      <c r="A3" s="1350">
        <v>45335</v>
      </c>
      <c r="B3" s="1350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351" t="s">
        <v>3</v>
      </c>
      <c r="B4" s="1354" t="s">
        <v>4</v>
      </c>
      <c r="C4" s="1357" t="s">
        <v>5</v>
      </c>
      <c r="D4" s="1358"/>
      <c r="E4" s="1296" t="s">
        <v>6</v>
      </c>
      <c r="F4" s="1297"/>
      <c r="G4" s="1299" t="s">
        <v>7</v>
      </c>
      <c r="H4" s="1311" t="s">
        <v>8</v>
      </c>
      <c r="I4" s="1316" t="s">
        <v>9</v>
      </c>
      <c r="J4" s="1321"/>
      <c r="K4" s="622" t="s">
        <v>121</v>
      </c>
      <c r="L4" s="1328" t="s">
        <v>70</v>
      </c>
      <c r="M4" s="1328"/>
      <c r="N4" s="1328" t="s">
        <v>10</v>
      </c>
      <c r="O4" s="1328"/>
      <c r="P4" s="1298" t="s">
        <v>11</v>
      </c>
      <c r="Q4" s="1298"/>
      <c r="R4" s="1308" t="s">
        <v>12</v>
      </c>
      <c r="S4" s="1308"/>
      <c r="T4" s="1295" t="s">
        <v>13</v>
      </c>
      <c r="U4" s="1295"/>
    </row>
    <row r="5" spans="1:21" ht="15.75" customHeight="1">
      <c r="A5" s="1352"/>
      <c r="B5" s="1355"/>
      <c r="C5" s="1361" t="s">
        <v>34</v>
      </c>
      <c r="D5" s="1359" t="s">
        <v>35</v>
      </c>
      <c r="E5" s="1326" t="s">
        <v>14</v>
      </c>
      <c r="F5" s="1335" t="s">
        <v>15</v>
      </c>
      <c r="G5" s="1300"/>
      <c r="H5" s="1312"/>
      <c r="I5" s="1317"/>
      <c r="J5" s="1322"/>
      <c r="K5" s="1324" t="s">
        <v>15</v>
      </c>
      <c r="L5" s="1319" t="s">
        <v>16</v>
      </c>
      <c r="M5" s="1331" t="s">
        <v>15</v>
      </c>
      <c r="N5" s="1304" t="s">
        <v>16</v>
      </c>
      <c r="O5" s="1302" t="s">
        <v>15</v>
      </c>
      <c r="P5" s="1306" t="s">
        <v>16</v>
      </c>
      <c r="Q5" s="1333" t="s">
        <v>15</v>
      </c>
      <c r="R5" s="1319" t="s">
        <v>16</v>
      </c>
      <c r="S5" s="1329" t="s">
        <v>15</v>
      </c>
      <c r="T5" s="1314" t="s">
        <v>14</v>
      </c>
      <c r="U5" s="1309"/>
    </row>
    <row r="6" spans="1:21" ht="15.75" customHeight="1" thickBot="1">
      <c r="A6" s="1353"/>
      <c r="B6" s="1356"/>
      <c r="C6" s="1362"/>
      <c r="D6" s="1360"/>
      <c r="E6" s="1327"/>
      <c r="F6" s="1336"/>
      <c r="G6" s="1301"/>
      <c r="H6" s="1313"/>
      <c r="I6" s="1318"/>
      <c r="J6" s="1323"/>
      <c r="K6" s="1325"/>
      <c r="L6" s="1320"/>
      <c r="M6" s="1332"/>
      <c r="N6" s="1305"/>
      <c r="O6" s="1303"/>
      <c r="P6" s="1307"/>
      <c r="Q6" s="1334"/>
      <c r="R6" s="1320"/>
      <c r="S6" s="1330"/>
      <c r="T6" s="1315"/>
      <c r="U6" s="1310"/>
    </row>
    <row r="7" spans="1:21" ht="15.75" customHeight="1">
      <c r="A7" s="1340">
        <v>1420</v>
      </c>
      <c r="B7" s="1031" t="s">
        <v>49</v>
      </c>
      <c r="C7" s="1059" t="s">
        <v>43</v>
      </c>
      <c r="D7" s="1034" t="s">
        <v>69</v>
      </c>
      <c r="E7" s="1036"/>
      <c r="F7" s="1037">
        <v>12</v>
      </c>
      <c r="G7" s="1184">
        <v>98000</v>
      </c>
      <c r="H7" s="1062" t="s">
        <v>189</v>
      </c>
      <c r="I7" s="1039" t="s">
        <v>190</v>
      </c>
      <c r="J7" s="1023"/>
      <c r="K7" s="1024"/>
      <c r="L7" s="1025"/>
      <c r="M7" s="1026"/>
      <c r="N7" s="1025"/>
      <c r="O7" s="1027"/>
      <c r="P7" s="1025"/>
      <c r="Q7" s="1027"/>
      <c r="R7" s="1025"/>
      <c r="S7" s="1028"/>
      <c r="T7" s="1029"/>
      <c r="U7" s="1030"/>
    </row>
    <row r="8" spans="1:21" ht="15.75" customHeight="1" thickBot="1">
      <c r="A8" s="1341"/>
      <c r="B8" s="1032" t="s">
        <v>206</v>
      </c>
      <c r="C8" s="1035" t="s">
        <v>43</v>
      </c>
      <c r="D8" s="1040" t="s">
        <v>202</v>
      </c>
      <c r="E8" s="1041"/>
      <c r="F8" s="1042">
        <v>19.7</v>
      </c>
      <c r="G8" s="1033">
        <v>98000</v>
      </c>
      <c r="H8" s="1038" t="s">
        <v>189</v>
      </c>
      <c r="I8" s="1043" t="s">
        <v>190</v>
      </c>
      <c r="J8" s="1023"/>
      <c r="K8" s="1024"/>
      <c r="L8" s="1025"/>
      <c r="M8" s="1026"/>
      <c r="N8" s="1025"/>
      <c r="O8" s="1027"/>
      <c r="P8" s="1025"/>
      <c r="Q8" s="1027"/>
      <c r="R8" s="1025"/>
      <c r="S8" s="1028"/>
      <c r="T8" s="1029"/>
      <c r="U8" s="1030"/>
    </row>
    <row r="9" spans="1:21" s="49" customFormat="1" ht="18" customHeight="1">
      <c r="A9" s="1341"/>
      <c r="B9" s="895">
        <v>16.8</v>
      </c>
      <c r="C9" s="1035" t="s">
        <v>129</v>
      </c>
      <c r="D9" s="1044" t="s">
        <v>48</v>
      </c>
      <c r="E9" s="1045">
        <f t="shared" ref="E9:E44" si="0">SUM(R9,P9,N9,L9,U9)</f>
        <v>12</v>
      </c>
      <c r="F9" s="1046">
        <f t="shared" ref="F9:F27" si="1">SUM(K9,M9,O9,Q9,S9)</f>
        <v>81</v>
      </c>
      <c r="G9" s="293">
        <v>82000</v>
      </c>
      <c r="H9" s="1038" t="s">
        <v>193</v>
      </c>
      <c r="I9" s="1047" t="s">
        <v>17</v>
      </c>
      <c r="J9" s="718">
        <f t="shared" ref="J9:J27" si="2">MMULT(F9,G9)</f>
        <v>6642000</v>
      </c>
      <c r="K9" s="416"/>
      <c r="L9" s="295"/>
      <c r="M9" s="294"/>
      <c r="N9" s="295">
        <v>12</v>
      </c>
      <c r="O9" s="296">
        <f>MMULT(N9,6.75)</f>
        <v>81</v>
      </c>
      <c r="P9" s="297"/>
      <c r="Q9" s="298"/>
      <c r="R9" s="372"/>
      <c r="S9" s="373"/>
      <c r="T9" s="374"/>
      <c r="U9" s="302"/>
    </row>
    <row r="10" spans="1:21" s="49" customFormat="1" ht="18" customHeight="1">
      <c r="A10" s="1341"/>
      <c r="B10" s="895" t="s">
        <v>63</v>
      </c>
      <c r="C10" s="1048" t="s">
        <v>43</v>
      </c>
      <c r="D10" s="1044" t="s">
        <v>208</v>
      </c>
      <c r="E10" s="1045"/>
      <c r="F10" s="1046">
        <v>15.5</v>
      </c>
      <c r="G10" s="293">
        <v>98000</v>
      </c>
      <c r="H10" s="1049" t="s">
        <v>189</v>
      </c>
      <c r="I10" s="1047" t="s">
        <v>190</v>
      </c>
      <c r="J10" s="719"/>
      <c r="K10" s="417"/>
      <c r="L10" s="101"/>
      <c r="M10" s="100"/>
      <c r="N10" s="101"/>
      <c r="O10" s="102"/>
      <c r="P10" s="103"/>
      <c r="Q10" s="104"/>
      <c r="R10" s="1001"/>
      <c r="S10" s="1002"/>
      <c r="T10" s="352"/>
      <c r="U10" s="105"/>
    </row>
    <row r="11" spans="1:21" s="49" customFormat="1" ht="18" customHeight="1">
      <c r="A11" s="1341"/>
      <c r="B11" s="889" t="s">
        <v>63</v>
      </c>
      <c r="C11" s="1048" t="s">
        <v>43</v>
      </c>
      <c r="D11" s="1050" t="s">
        <v>33</v>
      </c>
      <c r="E11" s="1051"/>
      <c r="F11" s="1052">
        <v>38</v>
      </c>
      <c r="G11" s="890">
        <v>105000</v>
      </c>
      <c r="H11" s="1049" t="s">
        <v>189</v>
      </c>
      <c r="I11" s="1053" t="s">
        <v>17</v>
      </c>
      <c r="J11" s="719"/>
      <c r="K11" s="417"/>
      <c r="L11" s="101"/>
      <c r="M11" s="100"/>
      <c r="N11" s="101"/>
      <c r="O11" s="102"/>
      <c r="P11" s="103"/>
      <c r="Q11" s="104"/>
      <c r="R11" s="1001"/>
      <c r="S11" s="1002"/>
      <c r="T11" s="352"/>
      <c r="U11" s="105"/>
    </row>
    <row r="12" spans="1:21" s="49" customFormat="1" ht="18" customHeight="1">
      <c r="A12" s="1341"/>
      <c r="B12" s="889" t="s">
        <v>63</v>
      </c>
      <c r="C12" s="1048" t="s">
        <v>43</v>
      </c>
      <c r="D12" s="1050" t="s">
        <v>207</v>
      </c>
      <c r="E12" s="1051"/>
      <c r="F12" s="1052">
        <v>30.4</v>
      </c>
      <c r="G12" s="890">
        <v>98000</v>
      </c>
      <c r="H12" s="1049" t="s">
        <v>189</v>
      </c>
      <c r="I12" s="1053" t="s">
        <v>190</v>
      </c>
      <c r="J12" s="719"/>
      <c r="K12" s="417"/>
      <c r="L12" s="101"/>
      <c r="M12" s="100"/>
      <c r="N12" s="101"/>
      <c r="O12" s="102"/>
      <c r="P12" s="103"/>
      <c r="Q12" s="104"/>
      <c r="R12" s="1001"/>
      <c r="S12" s="1002"/>
      <c r="T12" s="352"/>
      <c r="U12" s="105"/>
    </row>
    <row r="13" spans="1:21" s="49" customFormat="1" ht="18" customHeight="1">
      <c r="A13" s="1341"/>
      <c r="B13" s="889" t="s">
        <v>209</v>
      </c>
      <c r="C13" s="1048" t="s">
        <v>43</v>
      </c>
      <c r="D13" s="1050" t="s">
        <v>207</v>
      </c>
      <c r="E13" s="1051"/>
      <c r="F13" s="1052">
        <v>32.6</v>
      </c>
      <c r="G13" s="890">
        <v>98000</v>
      </c>
      <c r="H13" s="1049" t="s">
        <v>189</v>
      </c>
      <c r="I13" s="1053" t="s">
        <v>190</v>
      </c>
      <c r="J13" s="719"/>
      <c r="K13" s="417"/>
      <c r="L13" s="101"/>
      <c r="M13" s="100"/>
      <c r="N13" s="101"/>
      <c r="O13" s="102"/>
      <c r="P13" s="103"/>
      <c r="Q13" s="104"/>
      <c r="R13" s="1001"/>
      <c r="S13" s="1002"/>
      <c r="T13" s="352"/>
      <c r="U13" s="105"/>
    </row>
    <row r="14" spans="1:21" s="49" customFormat="1" ht="18" customHeight="1">
      <c r="A14" s="1341"/>
      <c r="B14" s="889" t="s">
        <v>63</v>
      </c>
      <c r="C14" s="1048" t="s">
        <v>43</v>
      </c>
      <c r="D14" s="1050" t="s">
        <v>37</v>
      </c>
      <c r="E14" s="1051">
        <f t="shared" si="0"/>
        <v>1</v>
      </c>
      <c r="F14" s="1052">
        <f t="shared" si="1"/>
        <v>1.492</v>
      </c>
      <c r="G14" s="890">
        <v>75000</v>
      </c>
      <c r="H14" s="1049" t="s">
        <v>66</v>
      </c>
      <c r="I14" s="1053" t="s">
        <v>17</v>
      </c>
      <c r="J14" s="719">
        <f t="shared" si="2"/>
        <v>111900</v>
      </c>
      <c r="K14" s="417"/>
      <c r="L14" s="101"/>
      <c r="M14" s="100"/>
      <c r="N14" s="101"/>
      <c r="O14" s="102"/>
      <c r="P14" s="103"/>
      <c r="Q14" s="104"/>
      <c r="R14" s="351">
        <v>1</v>
      </c>
      <c r="S14" s="375">
        <v>1.492</v>
      </c>
      <c r="T14" s="352"/>
      <c r="U14" s="105"/>
    </row>
    <row r="15" spans="1:21" s="49" customFormat="1" ht="18" customHeight="1" thickBot="1">
      <c r="A15" s="1342"/>
      <c r="B15" s="959" t="s">
        <v>209</v>
      </c>
      <c r="C15" s="1182" t="s">
        <v>43</v>
      </c>
      <c r="D15" s="1054" t="s">
        <v>33</v>
      </c>
      <c r="E15" s="1055"/>
      <c r="F15" s="1056">
        <v>54</v>
      </c>
      <c r="G15" s="960">
        <v>105000</v>
      </c>
      <c r="H15" s="1183" t="s">
        <v>189</v>
      </c>
      <c r="I15" s="1057" t="s">
        <v>17</v>
      </c>
      <c r="J15" s="719"/>
      <c r="K15" s="417"/>
      <c r="L15" s="101"/>
      <c r="M15" s="100"/>
      <c r="N15" s="101"/>
      <c r="O15" s="102"/>
      <c r="P15" s="103"/>
      <c r="Q15" s="104"/>
      <c r="R15" s="351"/>
      <c r="S15" s="375"/>
      <c r="T15" s="352"/>
      <c r="U15" s="105"/>
    </row>
    <row r="16" spans="1:21" s="49" customFormat="1" ht="18" customHeight="1">
      <c r="A16" s="1343">
        <v>1220</v>
      </c>
      <c r="B16" s="895" t="s">
        <v>188</v>
      </c>
      <c r="C16" s="962" t="s">
        <v>43</v>
      </c>
      <c r="D16" s="978" t="s">
        <v>33</v>
      </c>
      <c r="E16" s="292"/>
      <c r="F16" s="1004">
        <v>80</v>
      </c>
      <c r="G16" s="293">
        <v>105000</v>
      </c>
      <c r="H16" s="961" t="s">
        <v>189</v>
      </c>
      <c r="I16" s="450" t="s">
        <v>17</v>
      </c>
      <c r="J16" s="719"/>
      <c r="K16" s="417"/>
      <c r="L16" s="101"/>
      <c r="M16" s="100"/>
      <c r="N16" s="101"/>
      <c r="O16" s="102"/>
      <c r="P16" s="103"/>
      <c r="Q16" s="104"/>
      <c r="R16" s="351"/>
      <c r="S16" s="375"/>
      <c r="T16" s="352"/>
      <c r="U16" s="105"/>
    </row>
    <row r="17" spans="1:21" s="49" customFormat="1" ht="18" customHeight="1">
      <c r="A17" s="1343"/>
      <c r="B17" s="895" t="s">
        <v>188</v>
      </c>
      <c r="C17" s="962" t="s">
        <v>43</v>
      </c>
      <c r="D17" s="978" t="s">
        <v>205</v>
      </c>
      <c r="E17" s="292"/>
      <c r="F17" s="1004">
        <v>37</v>
      </c>
      <c r="G17" s="293">
        <v>98000</v>
      </c>
      <c r="H17" s="891" t="s">
        <v>189</v>
      </c>
      <c r="I17" s="450" t="s">
        <v>190</v>
      </c>
      <c r="J17" s="719"/>
      <c r="K17" s="417"/>
      <c r="L17" s="101"/>
      <c r="M17" s="100"/>
      <c r="N17" s="101"/>
      <c r="O17" s="102"/>
      <c r="P17" s="103"/>
      <c r="Q17" s="104"/>
      <c r="R17" s="351"/>
      <c r="S17" s="375"/>
      <c r="T17" s="352"/>
      <c r="U17" s="105"/>
    </row>
    <row r="18" spans="1:21" s="49" customFormat="1" ht="18" customHeight="1">
      <c r="A18" s="1343"/>
      <c r="B18" s="895" t="s">
        <v>57</v>
      </c>
      <c r="C18" s="962" t="s">
        <v>41</v>
      </c>
      <c r="D18" s="978" t="s">
        <v>33</v>
      </c>
      <c r="E18" s="292">
        <v>7</v>
      </c>
      <c r="F18" s="1004">
        <v>39.9</v>
      </c>
      <c r="G18" s="293">
        <v>85000</v>
      </c>
      <c r="H18" s="891" t="s">
        <v>215</v>
      </c>
      <c r="I18" s="450" t="s">
        <v>216</v>
      </c>
      <c r="J18" s="719"/>
      <c r="K18" s="417"/>
      <c r="L18" s="101"/>
      <c r="M18" s="100"/>
      <c r="N18" s="101"/>
      <c r="O18" s="102"/>
      <c r="P18" s="103"/>
      <c r="Q18" s="104"/>
      <c r="R18" s="351"/>
      <c r="S18" s="375"/>
      <c r="T18" s="352"/>
      <c r="U18" s="105"/>
    </row>
    <row r="19" spans="1:21" s="49" customFormat="1" ht="18" customHeight="1" thickBot="1">
      <c r="A19" s="1343"/>
      <c r="B19" s="889" t="s">
        <v>57</v>
      </c>
      <c r="C19" s="962" t="s">
        <v>43</v>
      </c>
      <c r="D19" s="978" t="s">
        <v>204</v>
      </c>
      <c r="E19" s="896"/>
      <c r="F19" s="1005">
        <v>24</v>
      </c>
      <c r="G19" s="890">
        <v>98000</v>
      </c>
      <c r="H19" s="891" t="s">
        <v>189</v>
      </c>
      <c r="I19" s="892" t="s">
        <v>190</v>
      </c>
      <c r="J19" s="719"/>
      <c r="K19" s="417"/>
      <c r="L19" s="101"/>
      <c r="M19" s="100"/>
      <c r="N19" s="101"/>
      <c r="O19" s="102"/>
      <c r="P19" s="103"/>
      <c r="Q19" s="104"/>
      <c r="R19" s="351"/>
      <c r="S19" s="375"/>
      <c r="T19" s="352"/>
      <c r="U19" s="105"/>
    </row>
    <row r="20" spans="1:21" s="49" customFormat="1" ht="18" customHeight="1">
      <c r="A20" s="1343"/>
      <c r="B20" s="895" t="s">
        <v>49</v>
      </c>
      <c r="C20" s="962" t="s">
        <v>43</v>
      </c>
      <c r="D20" s="978" t="s">
        <v>37</v>
      </c>
      <c r="E20" s="292">
        <v>1</v>
      </c>
      <c r="F20" s="1004">
        <f t="shared" si="1"/>
        <v>1.6319999999999999</v>
      </c>
      <c r="G20" s="293">
        <v>79000</v>
      </c>
      <c r="H20" s="961" t="s">
        <v>197</v>
      </c>
      <c r="I20" s="450" t="s">
        <v>17</v>
      </c>
      <c r="J20" s="720">
        <f t="shared" si="2"/>
        <v>128927.99999999999</v>
      </c>
      <c r="K20" s="418"/>
      <c r="L20" s="279"/>
      <c r="M20" s="278"/>
      <c r="N20" s="279"/>
      <c r="O20" s="280"/>
      <c r="P20" s="281"/>
      <c r="Q20" s="282"/>
      <c r="R20" s="287">
        <v>1</v>
      </c>
      <c r="S20" s="444">
        <v>1.6319999999999999</v>
      </c>
      <c r="T20" s="353"/>
      <c r="U20" s="288"/>
    </row>
    <row r="21" spans="1:21" s="49" customFormat="1" ht="18" customHeight="1">
      <c r="A21" s="1343"/>
      <c r="B21" s="895" t="s">
        <v>20</v>
      </c>
      <c r="C21" s="931" t="s">
        <v>129</v>
      </c>
      <c r="D21" s="979" t="s">
        <v>191</v>
      </c>
      <c r="E21" s="292">
        <v>2</v>
      </c>
      <c r="F21" s="1004">
        <v>8.5790000000000006</v>
      </c>
      <c r="G21" s="293">
        <v>89000</v>
      </c>
      <c r="H21" s="891" t="s">
        <v>189</v>
      </c>
      <c r="I21" s="450" t="s">
        <v>17</v>
      </c>
      <c r="J21" s="719"/>
      <c r="K21" s="417"/>
      <c r="L21" s="101"/>
      <c r="M21" s="100"/>
      <c r="N21" s="101"/>
      <c r="O21" s="102"/>
      <c r="P21" s="103"/>
      <c r="Q21" s="104"/>
      <c r="R21" s="351"/>
      <c r="S21" s="375"/>
      <c r="T21" s="352"/>
      <c r="U21" s="105"/>
    </row>
    <row r="22" spans="1:21" s="49" customFormat="1" ht="18" customHeight="1" thickBot="1">
      <c r="A22" s="1344"/>
      <c r="B22" s="889" t="s">
        <v>20</v>
      </c>
      <c r="C22" s="933" t="s">
        <v>43</v>
      </c>
      <c r="D22" s="979" t="s">
        <v>191</v>
      </c>
      <c r="E22" s="896"/>
      <c r="F22" s="1005">
        <v>80</v>
      </c>
      <c r="G22" s="890">
        <v>98000</v>
      </c>
      <c r="H22" s="891" t="s">
        <v>189</v>
      </c>
      <c r="I22" s="892" t="s">
        <v>190</v>
      </c>
      <c r="J22" s="719"/>
      <c r="K22" s="417"/>
      <c r="L22" s="101"/>
      <c r="M22" s="100"/>
      <c r="N22" s="101"/>
      <c r="O22" s="102"/>
      <c r="P22" s="103"/>
      <c r="Q22" s="104"/>
      <c r="R22" s="351"/>
      <c r="S22" s="375"/>
      <c r="T22" s="352"/>
      <c r="U22" s="105"/>
    </row>
    <row r="23" spans="1:21" s="49" customFormat="1" ht="18" customHeight="1">
      <c r="A23" s="1340">
        <v>1020</v>
      </c>
      <c r="B23" s="371" t="s">
        <v>38</v>
      </c>
      <c r="C23" s="1059" t="s">
        <v>41</v>
      </c>
      <c r="D23" s="1058" t="s">
        <v>37</v>
      </c>
      <c r="E23" s="1060">
        <f>SUM(R23,P23,N23,L23,U23)</f>
        <v>3</v>
      </c>
      <c r="F23" s="1061">
        <f t="shared" si="1"/>
        <v>16.799999999999997</v>
      </c>
      <c r="G23" s="285">
        <v>89000</v>
      </c>
      <c r="H23" s="1062" t="s">
        <v>179</v>
      </c>
      <c r="I23" s="1063" t="s">
        <v>17</v>
      </c>
      <c r="J23" s="720">
        <f t="shared" si="2"/>
        <v>1495199.9999999998</v>
      </c>
      <c r="K23" s="418"/>
      <c r="L23" s="279"/>
      <c r="M23" s="278"/>
      <c r="N23" s="279"/>
      <c r="O23" s="280"/>
      <c r="P23" s="281"/>
      <c r="Q23" s="282"/>
      <c r="R23" s="287">
        <v>3</v>
      </c>
      <c r="S23" s="444">
        <f>MMULT(R23,5.6)</f>
        <v>16.799999999999997</v>
      </c>
      <c r="T23" s="353"/>
      <c r="U23" s="288"/>
    </row>
    <row r="24" spans="1:21" s="49" customFormat="1" ht="18" customHeight="1">
      <c r="A24" s="1341"/>
      <c r="B24" s="895" t="s">
        <v>188</v>
      </c>
      <c r="C24" s="1048" t="s">
        <v>43</v>
      </c>
      <c r="D24" s="1044" t="s">
        <v>210</v>
      </c>
      <c r="E24" s="1045"/>
      <c r="F24" s="1046">
        <v>19</v>
      </c>
      <c r="G24" s="293">
        <v>98000</v>
      </c>
      <c r="H24" s="1049" t="s">
        <v>189</v>
      </c>
      <c r="I24" s="1064" t="s">
        <v>190</v>
      </c>
      <c r="J24" s="722"/>
      <c r="K24" s="417"/>
      <c r="L24" s="101"/>
      <c r="M24" s="100"/>
      <c r="N24" s="101"/>
      <c r="O24" s="102"/>
      <c r="P24" s="103"/>
      <c r="Q24" s="104"/>
      <c r="R24" s="351"/>
      <c r="S24" s="375"/>
      <c r="T24" s="352"/>
      <c r="U24" s="105"/>
    </row>
    <row r="25" spans="1:21" s="49" customFormat="1" ht="18" customHeight="1">
      <c r="A25" s="1341"/>
      <c r="B25" s="889" t="s">
        <v>188</v>
      </c>
      <c r="C25" s="1181" t="s">
        <v>43</v>
      </c>
      <c r="D25" s="1044" t="s">
        <v>33</v>
      </c>
      <c r="E25" s="1051">
        <v>7</v>
      </c>
      <c r="F25" s="1052">
        <v>35</v>
      </c>
      <c r="G25" s="890">
        <v>106000</v>
      </c>
      <c r="H25" s="1049" t="s">
        <v>189</v>
      </c>
      <c r="I25" s="1065" t="s">
        <v>17</v>
      </c>
      <c r="J25" s="893"/>
      <c r="K25" s="417"/>
      <c r="L25" s="101"/>
      <c r="M25" s="100"/>
      <c r="N25" s="101"/>
      <c r="O25" s="102"/>
      <c r="P25" s="103"/>
      <c r="Q25" s="104"/>
      <c r="R25" s="351"/>
      <c r="S25" s="375"/>
      <c r="T25" s="352"/>
      <c r="U25" s="105"/>
    </row>
    <row r="26" spans="1:21" s="49" customFormat="1" ht="18" customHeight="1">
      <c r="A26" s="1341"/>
      <c r="B26" s="889" t="s">
        <v>57</v>
      </c>
      <c r="C26" s="1181" t="s">
        <v>43</v>
      </c>
      <c r="D26" s="1044" t="s">
        <v>33</v>
      </c>
      <c r="E26" s="1051"/>
      <c r="F26" s="1052">
        <v>27</v>
      </c>
      <c r="G26" s="890">
        <v>105000</v>
      </c>
      <c r="H26" s="1049" t="s">
        <v>189</v>
      </c>
      <c r="I26" s="1065" t="s">
        <v>17</v>
      </c>
      <c r="J26" s="719"/>
      <c r="K26" s="417"/>
      <c r="L26" s="101"/>
      <c r="M26" s="100"/>
      <c r="N26" s="101"/>
      <c r="O26" s="102"/>
      <c r="P26" s="103"/>
      <c r="Q26" s="104"/>
      <c r="R26" s="351"/>
      <c r="S26" s="375"/>
      <c r="T26" s="352"/>
      <c r="U26" s="105"/>
    </row>
    <row r="27" spans="1:21" s="49" customFormat="1" ht="24" customHeight="1" thickBot="1">
      <c r="A27" s="1341"/>
      <c r="B27" s="889" t="s">
        <v>57</v>
      </c>
      <c r="C27" s="1035" t="s">
        <v>41</v>
      </c>
      <c r="D27" s="1050" t="s">
        <v>37</v>
      </c>
      <c r="E27" s="1051">
        <f>SUM(R27,P27,N27,L27,U27)</f>
        <v>8</v>
      </c>
      <c r="F27" s="1052">
        <f t="shared" si="1"/>
        <v>18.399999999999999</v>
      </c>
      <c r="G27" s="890">
        <v>89000</v>
      </c>
      <c r="H27" s="1049" t="s">
        <v>213</v>
      </c>
      <c r="I27" s="1065" t="s">
        <v>17</v>
      </c>
      <c r="J27" s="721">
        <f t="shared" si="2"/>
        <v>1637599.9999999998</v>
      </c>
      <c r="K27" s="689"/>
      <c r="L27" s="690"/>
      <c r="M27" s="691"/>
      <c r="N27" s="690"/>
      <c r="O27" s="692"/>
      <c r="P27" s="693"/>
      <c r="Q27" s="694"/>
      <c r="R27" s="695">
        <v>8</v>
      </c>
      <c r="S27" s="696">
        <f>MMULT(R27,2.3)</f>
        <v>18.399999999999999</v>
      </c>
      <c r="T27" s="753"/>
      <c r="U27" s="697"/>
    </row>
    <row r="28" spans="1:21" s="49" customFormat="1" ht="24" customHeight="1">
      <c r="A28" s="1341"/>
      <c r="B28" s="895" t="s">
        <v>49</v>
      </c>
      <c r="C28" s="1066" t="s">
        <v>41</v>
      </c>
      <c r="D28" s="1044" t="s">
        <v>33</v>
      </c>
      <c r="E28" s="1045">
        <v>2</v>
      </c>
      <c r="F28" s="1046">
        <v>8</v>
      </c>
      <c r="G28" s="293">
        <v>79000</v>
      </c>
      <c r="H28" s="1038" t="s">
        <v>189</v>
      </c>
      <c r="I28" s="1064" t="s">
        <v>217</v>
      </c>
      <c r="J28" s="719"/>
      <c r="K28" s="417"/>
      <c r="L28" s="101"/>
      <c r="M28" s="100"/>
      <c r="N28" s="101"/>
      <c r="O28" s="102"/>
      <c r="P28" s="103"/>
      <c r="Q28" s="104"/>
      <c r="R28" s="351"/>
      <c r="S28" s="375"/>
      <c r="T28" s="894"/>
      <c r="U28" s="105"/>
    </row>
    <row r="29" spans="1:21" s="49" customFormat="1" ht="24" customHeight="1">
      <c r="A29" s="1341"/>
      <c r="B29" s="895" t="s">
        <v>59</v>
      </c>
      <c r="C29" s="1066" t="s">
        <v>43</v>
      </c>
      <c r="D29" s="1044" t="s">
        <v>33</v>
      </c>
      <c r="E29" s="1045"/>
      <c r="F29" s="1046">
        <v>11</v>
      </c>
      <c r="G29" s="293">
        <v>105000</v>
      </c>
      <c r="H29" s="1038" t="s">
        <v>189</v>
      </c>
      <c r="I29" s="1064" t="s">
        <v>17</v>
      </c>
      <c r="J29" s="719"/>
      <c r="K29" s="417"/>
      <c r="L29" s="101"/>
      <c r="M29" s="100"/>
      <c r="N29" s="101"/>
      <c r="O29" s="102"/>
      <c r="P29" s="103"/>
      <c r="Q29" s="104"/>
      <c r="R29" s="351"/>
      <c r="S29" s="375"/>
      <c r="T29" s="894"/>
      <c r="U29" s="105"/>
    </row>
    <row r="30" spans="1:21" s="49" customFormat="1" ht="24" customHeight="1">
      <c r="A30" s="1341"/>
      <c r="B30" s="895" t="s">
        <v>59</v>
      </c>
      <c r="C30" s="1066" t="s">
        <v>43</v>
      </c>
      <c r="D30" s="1044" t="s">
        <v>208</v>
      </c>
      <c r="E30" s="1045"/>
      <c r="F30" s="1046">
        <v>16</v>
      </c>
      <c r="G30" s="293">
        <v>97000</v>
      </c>
      <c r="H30" s="1038" t="s">
        <v>189</v>
      </c>
      <c r="I30" s="1064" t="s">
        <v>190</v>
      </c>
      <c r="J30" s="719"/>
      <c r="K30" s="417"/>
      <c r="L30" s="101"/>
      <c r="M30" s="100"/>
      <c r="N30" s="101"/>
      <c r="O30" s="102"/>
      <c r="P30" s="103"/>
      <c r="Q30" s="104"/>
      <c r="R30" s="351"/>
      <c r="S30" s="375"/>
      <c r="T30" s="894"/>
      <c r="U30" s="105"/>
    </row>
    <row r="31" spans="1:21" s="49" customFormat="1" ht="24" customHeight="1">
      <c r="A31" s="1341"/>
      <c r="B31" s="895" t="s">
        <v>20</v>
      </c>
      <c r="C31" s="1066" t="s">
        <v>43</v>
      </c>
      <c r="D31" s="1044" t="s">
        <v>191</v>
      </c>
      <c r="E31" s="1045">
        <v>18</v>
      </c>
      <c r="F31" s="1046">
        <v>70</v>
      </c>
      <c r="G31" s="293">
        <v>105000</v>
      </c>
      <c r="H31" s="1038" t="s">
        <v>189</v>
      </c>
      <c r="I31" s="1064" t="s">
        <v>17</v>
      </c>
      <c r="J31" s="719"/>
      <c r="K31" s="417"/>
      <c r="L31" s="101"/>
      <c r="M31" s="100"/>
      <c r="N31" s="101"/>
      <c r="O31" s="102"/>
      <c r="P31" s="103"/>
      <c r="Q31" s="104"/>
      <c r="R31" s="351"/>
      <c r="S31" s="375"/>
      <c r="T31" s="894"/>
      <c r="U31" s="105"/>
    </row>
    <row r="32" spans="1:21" s="49" customFormat="1" ht="24" customHeight="1">
      <c r="A32" s="1341"/>
      <c r="B32" s="889" t="s">
        <v>20</v>
      </c>
      <c r="C32" s="1066" t="s">
        <v>43</v>
      </c>
      <c r="D32" s="1050" t="s">
        <v>202</v>
      </c>
      <c r="E32" s="1051"/>
      <c r="F32" s="1052">
        <v>120</v>
      </c>
      <c r="G32" s="890">
        <v>97000</v>
      </c>
      <c r="H32" s="1038" t="s">
        <v>189</v>
      </c>
      <c r="I32" s="1065" t="s">
        <v>190</v>
      </c>
      <c r="J32" s="719"/>
      <c r="K32" s="417"/>
      <c r="L32" s="101"/>
      <c r="M32" s="100"/>
      <c r="N32" s="101"/>
      <c r="O32" s="102"/>
      <c r="P32" s="103"/>
      <c r="Q32" s="104"/>
      <c r="R32" s="351"/>
      <c r="S32" s="375"/>
      <c r="T32" s="894"/>
      <c r="U32" s="105"/>
    </row>
    <row r="33" spans="1:21" s="49" customFormat="1" ht="24" customHeight="1">
      <c r="A33" s="1341"/>
      <c r="B33" s="889" t="s">
        <v>20</v>
      </c>
      <c r="C33" s="1067" t="s">
        <v>43</v>
      </c>
      <c r="D33" s="1050" t="s">
        <v>56</v>
      </c>
      <c r="E33" s="1051"/>
      <c r="F33" s="1052">
        <v>20</v>
      </c>
      <c r="G33" s="890">
        <v>97000</v>
      </c>
      <c r="H33" s="1038" t="s">
        <v>189</v>
      </c>
      <c r="I33" s="1065" t="s">
        <v>190</v>
      </c>
      <c r="J33" s="719"/>
      <c r="K33" s="417"/>
      <c r="L33" s="101"/>
      <c r="M33" s="100"/>
      <c r="N33" s="101"/>
      <c r="O33" s="102"/>
      <c r="P33" s="103"/>
      <c r="Q33" s="104"/>
      <c r="R33" s="351"/>
      <c r="S33" s="375"/>
      <c r="T33" s="894"/>
      <c r="U33" s="105"/>
    </row>
    <row r="34" spans="1:21" s="49" customFormat="1" ht="24" customHeight="1">
      <c r="A34" s="1341"/>
      <c r="B34" s="889" t="s">
        <v>52</v>
      </c>
      <c r="C34" s="1067" t="s">
        <v>43</v>
      </c>
      <c r="D34" s="1050" t="s">
        <v>69</v>
      </c>
      <c r="E34" s="1051"/>
      <c r="F34" s="1052">
        <v>21</v>
      </c>
      <c r="G34" s="890">
        <v>97000</v>
      </c>
      <c r="H34" s="1038" t="s">
        <v>189</v>
      </c>
      <c r="I34" s="1065" t="s">
        <v>190</v>
      </c>
      <c r="J34" s="719"/>
      <c r="K34" s="417"/>
      <c r="L34" s="101"/>
      <c r="M34" s="100"/>
      <c r="N34" s="101"/>
      <c r="O34" s="102"/>
      <c r="P34" s="103"/>
      <c r="Q34" s="104"/>
      <c r="R34" s="351"/>
      <c r="S34" s="375"/>
      <c r="T34" s="894"/>
      <c r="U34" s="105"/>
    </row>
    <row r="35" spans="1:21" s="49" customFormat="1" ht="24" customHeight="1">
      <c r="A35" s="1341"/>
      <c r="B35" s="889" t="s">
        <v>52</v>
      </c>
      <c r="C35" s="1067" t="s">
        <v>43</v>
      </c>
      <c r="D35" s="1050" t="s">
        <v>56</v>
      </c>
      <c r="E35" s="1051"/>
      <c r="F35" s="1052">
        <v>32</v>
      </c>
      <c r="G35" s="890">
        <v>97000</v>
      </c>
      <c r="H35" s="1038" t="s">
        <v>189</v>
      </c>
      <c r="I35" s="1065" t="s">
        <v>190</v>
      </c>
      <c r="J35" s="719"/>
      <c r="K35" s="417"/>
      <c r="L35" s="101"/>
      <c r="M35" s="100"/>
      <c r="N35" s="101"/>
      <c r="O35" s="102"/>
      <c r="P35" s="103"/>
      <c r="Q35" s="104"/>
      <c r="R35" s="351"/>
      <c r="S35" s="375"/>
      <c r="T35" s="894"/>
      <c r="U35" s="105"/>
    </row>
    <row r="36" spans="1:21" s="49" customFormat="1" ht="24" customHeight="1">
      <c r="A36" s="1341"/>
      <c r="B36" s="889" t="s">
        <v>52</v>
      </c>
      <c r="C36" s="1067" t="s">
        <v>43</v>
      </c>
      <c r="D36" s="1050" t="s">
        <v>202</v>
      </c>
      <c r="E36" s="1051"/>
      <c r="F36" s="1052">
        <v>14</v>
      </c>
      <c r="G36" s="890">
        <v>97000</v>
      </c>
      <c r="H36" s="1204" t="s">
        <v>189</v>
      </c>
      <c r="I36" s="1065" t="s">
        <v>190</v>
      </c>
      <c r="J36" s="719"/>
      <c r="K36" s="417"/>
      <c r="L36" s="101"/>
      <c r="M36" s="100"/>
      <c r="N36" s="101"/>
      <c r="O36" s="102"/>
      <c r="P36" s="103"/>
      <c r="Q36" s="104"/>
      <c r="R36" s="351"/>
      <c r="S36" s="375"/>
      <c r="T36" s="894"/>
      <c r="U36" s="105"/>
    </row>
    <row r="37" spans="1:21" s="49" customFormat="1" ht="24" customHeight="1">
      <c r="A37" s="1341"/>
      <c r="B37" s="889" t="s">
        <v>23</v>
      </c>
      <c r="C37" s="1067" t="s">
        <v>43</v>
      </c>
      <c r="D37" s="1050" t="s">
        <v>191</v>
      </c>
      <c r="E37" s="1051"/>
      <c r="F37" s="1052">
        <v>40</v>
      </c>
      <c r="G37" s="890">
        <v>98000</v>
      </c>
      <c r="H37" s="1204" t="s">
        <v>189</v>
      </c>
      <c r="I37" s="1065" t="s">
        <v>190</v>
      </c>
      <c r="J37" s="719"/>
      <c r="K37" s="417"/>
      <c r="L37" s="101"/>
      <c r="M37" s="100"/>
      <c r="N37" s="101"/>
      <c r="O37" s="102"/>
      <c r="P37" s="103"/>
      <c r="Q37" s="104"/>
      <c r="R37" s="351"/>
      <c r="S37" s="375"/>
      <c r="T37" s="894"/>
      <c r="U37" s="105"/>
    </row>
    <row r="38" spans="1:21" s="49" customFormat="1" ht="24" customHeight="1" thickBot="1">
      <c r="A38" s="1342"/>
      <c r="B38" s="370" t="s">
        <v>23</v>
      </c>
      <c r="C38" s="1066" t="s">
        <v>43</v>
      </c>
      <c r="D38" s="1044" t="s">
        <v>191</v>
      </c>
      <c r="E38" s="1068">
        <v>20</v>
      </c>
      <c r="F38" s="1069">
        <v>60</v>
      </c>
      <c r="G38" s="350">
        <v>105000</v>
      </c>
      <c r="H38" s="1203" t="s">
        <v>189</v>
      </c>
      <c r="I38" s="1070" t="s">
        <v>17</v>
      </c>
      <c r="J38" s="719"/>
      <c r="K38" s="417"/>
      <c r="L38" s="101"/>
      <c r="M38" s="100"/>
      <c r="N38" s="101"/>
      <c r="O38" s="102"/>
      <c r="P38" s="103"/>
      <c r="Q38" s="104"/>
      <c r="R38" s="351"/>
      <c r="S38" s="375"/>
      <c r="T38" s="894"/>
      <c r="U38" s="105"/>
    </row>
    <row r="39" spans="1:21" s="49" customFormat="1" ht="19.5" customHeight="1">
      <c r="A39" s="1345">
        <v>820</v>
      </c>
      <c r="B39" s="303">
        <v>20</v>
      </c>
      <c r="C39" s="932" t="s">
        <v>41</v>
      </c>
      <c r="D39" s="1219" t="s">
        <v>218</v>
      </c>
      <c r="E39" s="277">
        <f t="shared" si="0"/>
        <v>5</v>
      </c>
      <c r="F39" s="1003">
        <v>25</v>
      </c>
      <c r="G39" s="285">
        <v>125000</v>
      </c>
      <c r="H39" s="1211" t="s">
        <v>198</v>
      </c>
      <c r="I39" s="1212" t="s">
        <v>17</v>
      </c>
      <c r="J39" s="720"/>
      <c r="K39" s="418"/>
      <c r="L39" s="279"/>
      <c r="M39" s="278"/>
      <c r="N39" s="279"/>
      <c r="O39" s="280"/>
      <c r="P39" s="281"/>
      <c r="Q39" s="282"/>
      <c r="R39" s="287">
        <v>5</v>
      </c>
      <c r="S39" s="290"/>
      <c r="T39" s="283"/>
      <c r="U39" s="288"/>
    </row>
    <row r="40" spans="1:21" s="49" customFormat="1" ht="21" customHeight="1">
      <c r="A40" s="1346"/>
      <c r="B40" s="304">
        <v>19</v>
      </c>
      <c r="C40" s="934" t="s">
        <v>41</v>
      </c>
      <c r="D40" s="1220" t="s">
        <v>218</v>
      </c>
      <c r="E40" s="292">
        <f t="shared" si="0"/>
        <v>5</v>
      </c>
      <c r="F40" s="1004">
        <f>SUM(K40,M40,O40,Q40,S40)</f>
        <v>22.5</v>
      </c>
      <c r="G40" s="293">
        <v>120000</v>
      </c>
      <c r="H40" s="466" t="s">
        <v>167</v>
      </c>
      <c r="I40" s="1213" t="s">
        <v>17</v>
      </c>
      <c r="J40" s="722">
        <f>MMULT(F40,G40)</f>
        <v>2700000</v>
      </c>
      <c r="K40" s="419"/>
      <c r="L40" s="295"/>
      <c r="M40" s="294"/>
      <c r="N40" s="295"/>
      <c r="O40" s="296"/>
      <c r="P40" s="297"/>
      <c r="Q40" s="298"/>
      <c r="R40" s="299">
        <v>5</v>
      </c>
      <c r="S40" s="300">
        <f>MMULT(R40,4.5)</f>
        <v>22.5</v>
      </c>
      <c r="T40" s="301"/>
      <c r="U40" s="302"/>
    </row>
    <row r="41" spans="1:21" s="49" customFormat="1" ht="21" customHeight="1">
      <c r="A41" s="1346"/>
      <c r="B41" s="304">
        <v>16</v>
      </c>
      <c r="C41" s="935" t="s">
        <v>43</v>
      </c>
      <c r="D41" s="1221" t="s">
        <v>33</v>
      </c>
      <c r="E41" s="292">
        <v>5</v>
      </c>
      <c r="F41" s="1004">
        <v>18.5</v>
      </c>
      <c r="G41" s="293">
        <v>115000</v>
      </c>
      <c r="H41" s="466" t="s">
        <v>189</v>
      </c>
      <c r="I41" s="1213" t="s">
        <v>17</v>
      </c>
      <c r="J41" s="722"/>
      <c r="K41" s="419"/>
      <c r="L41" s="295"/>
      <c r="M41" s="294"/>
      <c r="N41" s="295"/>
      <c r="O41" s="296"/>
      <c r="P41" s="297"/>
      <c r="Q41" s="298"/>
      <c r="R41" s="299"/>
      <c r="S41" s="300"/>
      <c r="T41" s="301"/>
      <c r="U41" s="302"/>
    </row>
    <row r="42" spans="1:21" s="49" customFormat="1" ht="21" customHeight="1">
      <c r="A42" s="1346"/>
      <c r="B42" s="897">
        <v>14</v>
      </c>
      <c r="C42" s="935" t="s">
        <v>43</v>
      </c>
      <c r="D42" s="1221" t="s">
        <v>33</v>
      </c>
      <c r="E42" s="896">
        <v>6</v>
      </c>
      <c r="F42" s="1005">
        <v>19.5</v>
      </c>
      <c r="G42" s="890">
        <v>115000</v>
      </c>
      <c r="H42" s="898" t="s">
        <v>189</v>
      </c>
      <c r="I42" s="1214" t="s">
        <v>17</v>
      </c>
      <c r="J42" s="722"/>
      <c r="K42" s="419"/>
      <c r="L42" s="295"/>
      <c r="M42" s="294"/>
      <c r="N42" s="295"/>
      <c r="O42" s="296"/>
      <c r="P42" s="297"/>
      <c r="Q42" s="298"/>
      <c r="R42" s="299"/>
      <c r="S42" s="300"/>
      <c r="T42" s="301"/>
      <c r="U42" s="302"/>
    </row>
    <row r="43" spans="1:21" s="49" customFormat="1" ht="19.5" customHeight="1">
      <c r="A43" s="1346"/>
      <c r="B43" s="304">
        <v>12</v>
      </c>
      <c r="C43" s="935" t="s">
        <v>43</v>
      </c>
      <c r="D43" s="1220" t="s">
        <v>141</v>
      </c>
      <c r="E43" s="803">
        <v>23</v>
      </c>
      <c r="F43" s="1004">
        <v>65</v>
      </c>
      <c r="G43" s="293">
        <v>97000</v>
      </c>
      <c r="H43" s="466" t="s">
        <v>192</v>
      </c>
      <c r="I43" s="1213" t="s">
        <v>17</v>
      </c>
      <c r="J43" s="722">
        <f>MMULT(F43,G43)</f>
        <v>6305000</v>
      </c>
      <c r="K43" s="419"/>
      <c r="L43" s="295"/>
      <c r="M43" s="294"/>
      <c r="N43" s="295"/>
      <c r="O43" s="296"/>
      <c r="P43" s="297"/>
      <c r="Q43" s="298"/>
      <c r="R43" s="299">
        <v>17</v>
      </c>
      <c r="S43" s="300">
        <f>MMULT(R43,2.82)</f>
        <v>47.94</v>
      </c>
      <c r="T43" s="301"/>
      <c r="U43" s="302"/>
    </row>
    <row r="44" spans="1:21" s="20" customFormat="1" ht="18" customHeight="1">
      <c r="A44" s="1346"/>
      <c r="B44" s="908">
        <v>11</v>
      </c>
      <c r="C44" s="936" t="s">
        <v>18</v>
      </c>
      <c r="D44" s="1221" t="s">
        <v>33</v>
      </c>
      <c r="E44" s="230">
        <f t="shared" si="0"/>
        <v>1</v>
      </c>
      <c r="F44" s="231">
        <f>SUM(K44,M44,O44,Q44,S44)</f>
        <v>2.5</v>
      </c>
      <c r="G44" s="286">
        <v>65000</v>
      </c>
      <c r="H44" s="467">
        <v>11.16</v>
      </c>
      <c r="I44" s="1215" t="s">
        <v>17</v>
      </c>
      <c r="J44" s="411">
        <f t="shared" ref="J44:J55" si="3">MMULT(F44,G44)</f>
        <v>162500</v>
      </c>
      <c r="K44" s="142"/>
      <c r="L44" s="413"/>
      <c r="M44" s="232"/>
      <c r="N44" s="233"/>
      <c r="O44" s="234"/>
      <c r="P44" s="235"/>
      <c r="Q44" s="236"/>
      <c r="R44" s="781">
        <v>1</v>
      </c>
      <c r="S44" s="782">
        <f>MMULT(R44,2.5)</f>
        <v>2.5</v>
      </c>
      <c r="T44" s="783"/>
      <c r="U44" s="784"/>
    </row>
    <row r="45" spans="1:21" s="151" customFormat="1" ht="18" customHeight="1">
      <c r="A45" s="1346"/>
      <c r="B45" s="908" t="s">
        <v>23</v>
      </c>
      <c r="C45" s="1205" t="s">
        <v>43</v>
      </c>
      <c r="D45" s="1221" t="s">
        <v>33</v>
      </c>
      <c r="E45" s="230">
        <v>6</v>
      </c>
      <c r="F45" s="231">
        <v>14.4</v>
      </c>
      <c r="G45" s="286">
        <v>79000</v>
      </c>
      <c r="H45" s="467" t="s">
        <v>189</v>
      </c>
      <c r="I45" s="1215" t="s">
        <v>217</v>
      </c>
      <c r="J45" s="899"/>
      <c r="K45" s="166"/>
      <c r="L45" s="900"/>
      <c r="M45" s="901"/>
      <c r="N45" s="902"/>
      <c r="O45" s="903"/>
      <c r="P45" s="904"/>
      <c r="Q45" s="905"/>
      <c r="R45" s="906"/>
      <c r="S45" s="794"/>
      <c r="T45" s="907"/>
      <c r="U45" s="795"/>
    </row>
    <row r="46" spans="1:21" s="151" customFormat="1" ht="18" customHeight="1" thickBot="1">
      <c r="A46" s="1347"/>
      <c r="B46" s="909" t="s">
        <v>51</v>
      </c>
      <c r="C46" s="1218" t="s">
        <v>41</v>
      </c>
      <c r="D46" s="1222" t="s">
        <v>33</v>
      </c>
      <c r="E46" s="1216">
        <v>4</v>
      </c>
      <c r="F46" s="1217">
        <v>8.5790000000000006</v>
      </c>
      <c r="G46" s="910">
        <v>79000</v>
      </c>
      <c r="H46" s="1223" t="s">
        <v>189</v>
      </c>
      <c r="I46" s="558" t="s">
        <v>217</v>
      </c>
      <c r="J46" s="899"/>
      <c r="K46" s="166"/>
      <c r="L46" s="900"/>
      <c r="M46" s="901"/>
      <c r="N46" s="902"/>
      <c r="O46" s="903"/>
      <c r="P46" s="904"/>
      <c r="Q46" s="905"/>
      <c r="R46" s="906"/>
      <c r="S46" s="794"/>
      <c r="T46" s="907"/>
      <c r="U46" s="795"/>
    </row>
    <row r="47" spans="1:21" s="151" customFormat="1" ht="18" customHeight="1">
      <c r="A47" s="1337">
        <v>720</v>
      </c>
      <c r="B47" s="1206" t="s">
        <v>30</v>
      </c>
      <c r="C47" s="1207" t="s">
        <v>41</v>
      </c>
      <c r="D47" s="1079" t="s">
        <v>74</v>
      </c>
      <c r="E47" s="1208">
        <f>SUM(R47,P47,N47,L47)</f>
        <v>11</v>
      </c>
      <c r="F47" s="1209">
        <f t="shared" ref="F47:F75" si="4">SUM(K47,M47,O47,Q47,S47)</f>
        <v>44.55</v>
      </c>
      <c r="G47" s="284">
        <v>115000</v>
      </c>
      <c r="H47" s="1210" t="s">
        <v>175</v>
      </c>
      <c r="I47" s="1111" t="s">
        <v>17</v>
      </c>
      <c r="J47" s="412">
        <f t="shared" si="3"/>
        <v>5123250</v>
      </c>
      <c r="K47" s="420"/>
      <c r="L47" s="494"/>
      <c r="M47" s="276"/>
      <c r="N47" s="273"/>
      <c r="O47" s="274"/>
      <c r="P47" s="275"/>
      <c r="Q47" s="776"/>
      <c r="R47" s="785">
        <v>11</v>
      </c>
      <c r="S47" s="786">
        <f>MMULT(R47,4.05)</f>
        <v>44.55</v>
      </c>
      <c r="T47" s="787"/>
      <c r="U47" s="788"/>
    </row>
    <row r="48" spans="1:21" s="151" customFormat="1" ht="18" customHeight="1">
      <c r="A48" s="1338"/>
      <c r="B48" s="520" t="s">
        <v>38</v>
      </c>
      <c r="C48" s="1072" t="s">
        <v>41</v>
      </c>
      <c r="D48" s="1073" t="s">
        <v>74</v>
      </c>
      <c r="E48" s="1074">
        <f>SUM(R48,P48,N48,L48)</f>
        <v>6</v>
      </c>
      <c r="F48" s="1075">
        <f>SUM(K48,M48,O48,Q48,S48)</f>
        <v>22.799999999999997</v>
      </c>
      <c r="G48" s="1020">
        <v>115000</v>
      </c>
      <c r="H48" s="1076" t="s">
        <v>75</v>
      </c>
      <c r="I48" s="1077" t="s">
        <v>17</v>
      </c>
      <c r="J48" s="411">
        <f t="shared" si="3"/>
        <v>2621999.9999999995</v>
      </c>
      <c r="K48" s="142"/>
      <c r="L48" s="413"/>
      <c r="M48" s="522"/>
      <c r="N48" s="233"/>
      <c r="O48" s="234"/>
      <c r="P48" s="235"/>
      <c r="Q48" s="777"/>
      <c r="R48" s="789">
        <v>6</v>
      </c>
      <c r="S48" s="523">
        <f>MMULT(R48,3.8)</f>
        <v>22.799999999999997</v>
      </c>
      <c r="T48" s="524"/>
      <c r="U48" s="289"/>
    </row>
    <row r="49" spans="1:21" s="151" customFormat="1" ht="18" customHeight="1">
      <c r="A49" s="1338"/>
      <c r="B49" s="520" t="s">
        <v>20</v>
      </c>
      <c r="C49" s="1078" t="s">
        <v>43</v>
      </c>
      <c r="D49" s="1079" t="s">
        <v>69</v>
      </c>
      <c r="E49" s="1074">
        <v>2</v>
      </c>
      <c r="F49" s="1075">
        <v>5</v>
      </c>
      <c r="G49" s="286">
        <v>105000</v>
      </c>
      <c r="H49" s="1080" t="s">
        <v>189</v>
      </c>
      <c r="I49" s="1077" t="s">
        <v>17</v>
      </c>
      <c r="J49" s="911"/>
      <c r="K49" s="305"/>
      <c r="L49" s="912"/>
      <c r="M49" s="913"/>
      <c r="N49" s="914"/>
      <c r="O49" s="915"/>
      <c r="P49" s="499"/>
      <c r="Q49" s="780"/>
      <c r="R49" s="916"/>
      <c r="S49" s="917"/>
      <c r="T49" s="500"/>
      <c r="U49" s="795"/>
    </row>
    <row r="50" spans="1:21" s="20" customFormat="1" ht="18" customHeight="1">
      <c r="A50" s="1338"/>
      <c r="B50" s="186">
        <v>12</v>
      </c>
      <c r="C50" s="1081" t="s">
        <v>18</v>
      </c>
      <c r="D50" s="1079" t="s">
        <v>36</v>
      </c>
      <c r="E50" s="1082"/>
      <c r="F50" s="1083">
        <v>40</v>
      </c>
      <c r="G50" s="1020">
        <v>79000</v>
      </c>
      <c r="H50" s="1084" t="s">
        <v>127</v>
      </c>
      <c r="I50" s="1085" t="s">
        <v>17</v>
      </c>
      <c r="J50" s="153">
        <f t="shared" si="3"/>
        <v>3160000</v>
      </c>
      <c r="K50" s="93"/>
      <c r="L50" s="23"/>
      <c r="M50" s="22"/>
      <c r="N50" s="23"/>
      <c r="O50" s="24"/>
      <c r="P50" s="140"/>
      <c r="Q50" s="778"/>
      <c r="R50" s="790">
        <v>1</v>
      </c>
      <c r="S50" s="25">
        <f>MMULT(R50,2.3)</f>
        <v>2.2999999999999998</v>
      </c>
      <c r="T50" s="68"/>
      <c r="U50" s="791"/>
    </row>
    <row r="51" spans="1:21" s="151" customFormat="1" ht="18" customHeight="1">
      <c r="A51" s="1338"/>
      <c r="B51" s="186" t="s">
        <v>52</v>
      </c>
      <c r="C51" s="1078" t="s">
        <v>43</v>
      </c>
      <c r="D51" s="1086" t="s">
        <v>33</v>
      </c>
      <c r="E51" s="1082"/>
      <c r="F51" s="1087">
        <v>11</v>
      </c>
      <c r="G51" s="286">
        <v>105000</v>
      </c>
      <c r="H51" s="1080" t="s">
        <v>189</v>
      </c>
      <c r="I51" s="1085" t="s">
        <v>17</v>
      </c>
      <c r="J51" s="153"/>
      <c r="K51" s="93"/>
      <c r="L51" s="23"/>
      <c r="M51" s="22"/>
      <c r="N51" s="23"/>
      <c r="O51" s="24"/>
      <c r="P51" s="140"/>
      <c r="Q51" s="778"/>
      <c r="R51" s="790"/>
      <c r="S51" s="25"/>
      <c r="T51" s="68"/>
      <c r="U51" s="791"/>
    </row>
    <row r="52" spans="1:21" s="151" customFormat="1" ht="18" customHeight="1">
      <c r="A52" s="1338"/>
      <c r="B52" s="186" t="s">
        <v>23</v>
      </c>
      <c r="C52" s="1078" t="s">
        <v>43</v>
      </c>
      <c r="D52" s="1086" t="s">
        <v>33</v>
      </c>
      <c r="E52" s="1082"/>
      <c r="F52" s="1088">
        <v>20</v>
      </c>
      <c r="G52" s="1022">
        <v>98000</v>
      </c>
      <c r="H52" s="1080" t="s">
        <v>189</v>
      </c>
      <c r="I52" s="1085" t="s">
        <v>17</v>
      </c>
      <c r="J52" s="153"/>
      <c r="K52" s="93"/>
      <c r="L52" s="23"/>
      <c r="M52" s="22"/>
      <c r="N52" s="23"/>
      <c r="O52" s="24"/>
      <c r="P52" s="140"/>
      <c r="Q52" s="778"/>
      <c r="R52" s="790"/>
      <c r="S52" s="25"/>
      <c r="T52" s="68"/>
      <c r="U52" s="791"/>
    </row>
    <row r="53" spans="1:21" s="151" customFormat="1" ht="18" customHeight="1">
      <c r="A53" s="1338"/>
      <c r="B53" s="186" t="s">
        <v>23</v>
      </c>
      <c r="C53" s="1078" t="s">
        <v>43</v>
      </c>
      <c r="D53" s="1086" t="s">
        <v>212</v>
      </c>
      <c r="E53" s="1082">
        <f t="shared" ref="E53:E62" si="5">SUM(R53,P53,N53,L53,U53)</f>
        <v>12</v>
      </c>
      <c r="F53" s="1089">
        <f>SUM(K53,M53,O53,Q53,S53)</f>
        <v>23.759999999999998</v>
      </c>
      <c r="G53" s="201">
        <v>82000</v>
      </c>
      <c r="H53" s="1084"/>
      <c r="I53" s="1085" t="s">
        <v>17</v>
      </c>
      <c r="J53" s="153">
        <f>MMULT(F53,G53)</f>
        <v>1948319.9999999998</v>
      </c>
      <c r="K53" s="93"/>
      <c r="L53" s="23"/>
      <c r="M53" s="22"/>
      <c r="N53" s="23"/>
      <c r="O53" s="24"/>
      <c r="P53" s="140"/>
      <c r="Q53" s="778"/>
      <c r="R53" s="790">
        <v>12</v>
      </c>
      <c r="S53" s="25">
        <f>MMULT(R53,1.98)</f>
        <v>23.759999999999998</v>
      </c>
      <c r="T53" s="68"/>
      <c r="U53" s="791"/>
    </row>
    <row r="54" spans="1:21" s="151" customFormat="1" ht="18" customHeight="1">
      <c r="A54" s="1338"/>
      <c r="B54" s="186" t="s">
        <v>23</v>
      </c>
      <c r="C54" s="1081" t="s">
        <v>18</v>
      </c>
      <c r="D54" s="1073" t="s">
        <v>36</v>
      </c>
      <c r="E54" s="1082">
        <f t="shared" si="5"/>
        <v>5</v>
      </c>
      <c r="F54" s="1089">
        <f>SUM(K54,M54,O54,Q54,S54)</f>
        <v>9.9</v>
      </c>
      <c r="G54" s="201">
        <v>75000</v>
      </c>
      <c r="H54" s="1084" t="s">
        <v>169</v>
      </c>
      <c r="I54" s="1085" t="s">
        <v>17</v>
      </c>
      <c r="J54" s="153">
        <f t="shared" si="3"/>
        <v>742500</v>
      </c>
      <c r="K54" s="93"/>
      <c r="L54" s="23"/>
      <c r="M54" s="22"/>
      <c r="N54" s="23"/>
      <c r="O54" s="24"/>
      <c r="P54" s="140"/>
      <c r="Q54" s="778"/>
      <c r="R54" s="790">
        <v>5</v>
      </c>
      <c r="S54" s="25">
        <f>MMULT(R54,1.98)</f>
        <v>9.9</v>
      </c>
      <c r="T54" s="68"/>
      <c r="U54" s="791"/>
    </row>
    <row r="55" spans="1:21" s="151" customFormat="1" ht="18" customHeight="1">
      <c r="A55" s="1338"/>
      <c r="B55" s="186" t="s">
        <v>23</v>
      </c>
      <c r="C55" s="1081" t="s">
        <v>203</v>
      </c>
      <c r="D55" s="1090" t="s">
        <v>39</v>
      </c>
      <c r="E55" s="1082">
        <f t="shared" si="5"/>
        <v>2</v>
      </c>
      <c r="F55" s="1089">
        <f t="shared" si="4"/>
        <v>3.8</v>
      </c>
      <c r="G55" s="201">
        <v>98000</v>
      </c>
      <c r="H55" s="1084" t="s">
        <v>126</v>
      </c>
      <c r="I55" s="1085" t="s">
        <v>17</v>
      </c>
      <c r="J55" s="153">
        <f t="shared" si="3"/>
        <v>372400</v>
      </c>
      <c r="K55" s="519"/>
      <c r="L55" s="111"/>
      <c r="M55" s="22"/>
      <c r="N55" s="23"/>
      <c r="O55" s="24"/>
      <c r="P55" s="140"/>
      <c r="Q55" s="778"/>
      <c r="R55" s="792">
        <v>2</v>
      </c>
      <c r="S55" s="86">
        <f>MMULT(R55,1.9)</f>
        <v>3.8</v>
      </c>
      <c r="T55" s="68"/>
      <c r="U55" s="791" t="s">
        <v>71</v>
      </c>
    </row>
    <row r="56" spans="1:21" s="20" customFormat="1" ht="18" customHeight="1">
      <c r="A56" s="1338"/>
      <c r="B56" s="187" t="s">
        <v>51</v>
      </c>
      <c r="C56" s="1081" t="s">
        <v>18</v>
      </c>
      <c r="D56" s="1091"/>
      <c r="E56" s="1082">
        <f t="shared" si="5"/>
        <v>7</v>
      </c>
      <c r="F56" s="1089">
        <f t="shared" si="4"/>
        <v>12.46</v>
      </c>
      <c r="G56" s="1021">
        <v>79000</v>
      </c>
      <c r="H56" s="1084" t="s">
        <v>177</v>
      </c>
      <c r="I56" s="1085" t="s">
        <v>17</v>
      </c>
      <c r="J56" s="153">
        <f t="shared" ref="J56:J75" si="6">MMULT(F56,G56)</f>
        <v>984340.00000000012</v>
      </c>
      <c r="K56" s="93"/>
      <c r="L56" s="414"/>
      <c r="M56" s="22"/>
      <c r="N56" s="23"/>
      <c r="O56" s="24"/>
      <c r="P56" s="21"/>
      <c r="Q56" s="779"/>
      <c r="R56" s="790">
        <v>7</v>
      </c>
      <c r="S56" s="25">
        <f>MMULT(R56,1.78)</f>
        <v>12.46</v>
      </c>
      <c r="T56" s="68"/>
      <c r="U56" s="791"/>
    </row>
    <row r="57" spans="1:21" s="151" customFormat="1" ht="18" customHeight="1">
      <c r="A57" s="1338"/>
      <c r="B57" s="187" t="s">
        <v>51</v>
      </c>
      <c r="C57" s="1078" t="s">
        <v>43</v>
      </c>
      <c r="D57" s="1086" t="s">
        <v>33</v>
      </c>
      <c r="E57" s="1082"/>
      <c r="F57" s="1088">
        <v>9</v>
      </c>
      <c r="G57" s="286">
        <v>105000</v>
      </c>
      <c r="H57" s="1092"/>
      <c r="I57" s="1085" t="s">
        <v>17</v>
      </c>
      <c r="J57" s="153"/>
      <c r="K57" s="93"/>
      <c r="L57" s="414"/>
      <c r="M57" s="22"/>
      <c r="N57" s="23"/>
      <c r="O57" s="24"/>
      <c r="P57" s="21"/>
      <c r="Q57" s="779"/>
      <c r="R57" s="790"/>
      <c r="S57" s="25"/>
      <c r="T57" s="68"/>
      <c r="U57" s="791"/>
    </row>
    <row r="58" spans="1:21" s="151" customFormat="1" ht="18" customHeight="1">
      <c r="A58" s="1338"/>
      <c r="B58" s="187" t="s">
        <v>24</v>
      </c>
      <c r="C58" s="1078" t="s">
        <v>43</v>
      </c>
      <c r="D58" s="1093" t="s">
        <v>56</v>
      </c>
      <c r="E58" s="1082"/>
      <c r="F58" s="1088">
        <v>16</v>
      </c>
      <c r="G58" s="1022">
        <v>98000</v>
      </c>
      <c r="H58" s="1080" t="s">
        <v>189</v>
      </c>
      <c r="I58" s="1085" t="s">
        <v>190</v>
      </c>
      <c r="J58" s="153"/>
      <c r="K58" s="93"/>
      <c r="L58" s="414"/>
      <c r="M58" s="22"/>
      <c r="N58" s="23"/>
      <c r="O58" s="24"/>
      <c r="P58" s="21"/>
      <c r="Q58" s="779"/>
      <c r="R58" s="790"/>
      <c r="S58" s="25"/>
      <c r="T58" s="68"/>
      <c r="U58" s="791"/>
    </row>
    <row r="59" spans="1:21" s="151" customFormat="1" ht="18" customHeight="1">
      <c r="A59" s="1338"/>
      <c r="B59" s="187" t="s">
        <v>24</v>
      </c>
      <c r="C59" s="1078" t="s">
        <v>43</v>
      </c>
      <c r="D59" s="1086" t="s">
        <v>33</v>
      </c>
      <c r="E59" s="1082"/>
      <c r="F59" s="1088">
        <v>16</v>
      </c>
      <c r="G59" s="1022">
        <v>98000</v>
      </c>
      <c r="H59" s="1080" t="s">
        <v>189</v>
      </c>
      <c r="I59" s="1085" t="s">
        <v>17</v>
      </c>
      <c r="J59" s="153"/>
      <c r="K59" s="93"/>
      <c r="L59" s="414"/>
      <c r="M59" s="22"/>
      <c r="N59" s="23"/>
      <c r="O59" s="24"/>
      <c r="P59" s="21"/>
      <c r="Q59" s="779"/>
      <c r="R59" s="790"/>
      <c r="S59" s="25"/>
      <c r="T59" s="68"/>
      <c r="U59" s="791"/>
    </row>
    <row r="60" spans="1:21" s="151" customFormat="1" ht="18" customHeight="1">
      <c r="A60" s="1338"/>
      <c r="B60" s="187" t="s">
        <v>24</v>
      </c>
      <c r="C60" s="1081" t="s">
        <v>203</v>
      </c>
      <c r="D60" s="1094" t="s">
        <v>38</v>
      </c>
      <c r="E60" s="1082">
        <f t="shared" si="5"/>
        <v>4</v>
      </c>
      <c r="F60" s="1089">
        <f t="shared" si="4"/>
        <v>8</v>
      </c>
      <c r="G60" s="201">
        <v>95000</v>
      </c>
      <c r="H60" s="1084"/>
      <c r="I60" s="1085" t="s">
        <v>17</v>
      </c>
      <c r="J60" s="153">
        <f t="shared" si="6"/>
        <v>760000</v>
      </c>
      <c r="K60" s="93"/>
      <c r="L60" s="415"/>
      <c r="M60" s="22"/>
      <c r="N60" s="23"/>
      <c r="O60" s="24"/>
      <c r="P60" s="21"/>
      <c r="Q60" s="779"/>
      <c r="R60" s="792">
        <v>4</v>
      </c>
      <c r="S60" s="86">
        <f>MMULT(R60,2)</f>
        <v>8</v>
      </c>
      <c r="T60" s="68"/>
      <c r="U60" s="791" t="s">
        <v>122</v>
      </c>
    </row>
    <row r="61" spans="1:21" s="151" customFormat="1" ht="18" customHeight="1">
      <c r="A61" s="1338"/>
      <c r="B61" s="796" t="s">
        <v>24</v>
      </c>
      <c r="C61" s="1072" t="s">
        <v>203</v>
      </c>
      <c r="D61" s="1073" t="s">
        <v>38</v>
      </c>
      <c r="E61" s="1095">
        <f>SUM(R61,P61,N61,L61,U61)</f>
        <v>1</v>
      </c>
      <c r="F61" s="1083">
        <f>SUM(K61,M61,O61,Q61,S61)</f>
        <v>1.5</v>
      </c>
      <c r="G61" s="521">
        <v>69000</v>
      </c>
      <c r="H61" s="1076" t="s">
        <v>168</v>
      </c>
      <c r="I61" s="1077" t="s">
        <v>17</v>
      </c>
      <c r="J61" s="141">
        <f>MMULT(F61,G61)</f>
        <v>103500</v>
      </c>
      <c r="K61" s="797"/>
      <c r="L61" s="798"/>
      <c r="M61" s="799"/>
      <c r="N61" s="800"/>
      <c r="O61" s="801"/>
      <c r="P61" s="235"/>
      <c r="Q61" s="777"/>
      <c r="R61" s="789">
        <v>1</v>
      </c>
      <c r="S61" s="523">
        <f>MMULT(R61,1.5)</f>
        <v>1.5</v>
      </c>
      <c r="T61" s="524"/>
      <c r="U61" s="289"/>
    </row>
    <row r="62" spans="1:21" s="20" customFormat="1" ht="18" customHeight="1" thickBot="1">
      <c r="A62" s="1339"/>
      <c r="B62" s="1007" t="s">
        <v>21</v>
      </c>
      <c r="C62" s="1096" t="s">
        <v>18</v>
      </c>
      <c r="D62" s="1097"/>
      <c r="E62" s="1098">
        <f t="shared" si="5"/>
        <v>2</v>
      </c>
      <c r="F62" s="1099">
        <f t="shared" si="4"/>
        <v>3</v>
      </c>
      <c r="G62" s="1008">
        <v>75000</v>
      </c>
      <c r="H62" s="1100" t="s">
        <v>178</v>
      </c>
      <c r="I62" s="1101" t="s">
        <v>17</v>
      </c>
      <c r="J62" s="44">
        <f t="shared" si="6"/>
        <v>225000</v>
      </c>
      <c r="K62" s="344"/>
      <c r="L62" s="495"/>
      <c r="M62" s="496"/>
      <c r="N62" s="497"/>
      <c r="O62" s="498"/>
      <c r="P62" s="499"/>
      <c r="Q62" s="780"/>
      <c r="R62" s="793">
        <v>2</v>
      </c>
      <c r="S62" s="794">
        <f>MMULT(R62,1.5)</f>
        <v>3</v>
      </c>
      <c r="T62" s="500"/>
      <c r="U62" s="795"/>
    </row>
    <row r="63" spans="1:21" s="151" customFormat="1" ht="18" customHeight="1" thickBot="1">
      <c r="A63" s="1256">
        <v>630</v>
      </c>
      <c r="B63" s="1009" t="s">
        <v>38</v>
      </c>
      <c r="C63" s="1013" t="s">
        <v>43</v>
      </c>
      <c r="D63" s="1014" t="s">
        <v>33</v>
      </c>
      <c r="E63" s="1010"/>
      <c r="F63" s="206">
        <v>22</v>
      </c>
      <c r="G63" s="1011">
        <v>105000</v>
      </c>
      <c r="H63" s="1015" t="s">
        <v>189</v>
      </c>
      <c r="I63" s="456" t="s">
        <v>190</v>
      </c>
      <c r="J63" s="44"/>
      <c r="K63" s="344"/>
      <c r="L63" s="495"/>
      <c r="M63" s="496"/>
      <c r="N63" s="497"/>
      <c r="O63" s="498"/>
      <c r="P63" s="499"/>
      <c r="Q63" s="780"/>
      <c r="R63" s="1006"/>
      <c r="S63" s="794"/>
      <c r="T63" s="500"/>
      <c r="U63" s="795"/>
    </row>
    <row r="64" spans="1:21" s="151" customFormat="1" ht="18" customHeight="1">
      <c r="A64" s="1257"/>
      <c r="B64" s="187" t="s">
        <v>49</v>
      </c>
      <c r="C64" s="937" t="s">
        <v>41</v>
      </c>
      <c r="D64" s="1012" t="s">
        <v>33</v>
      </c>
      <c r="E64" s="167">
        <f>SUM(R64,P64,N64,L64)</f>
        <v>2</v>
      </c>
      <c r="F64" s="80">
        <f>SUM(K64,M64,O64,Q64,S64)</f>
        <v>5</v>
      </c>
      <c r="G64" s="203">
        <v>140000</v>
      </c>
      <c r="H64" s="1016" t="s">
        <v>183</v>
      </c>
      <c r="I64" s="452" t="s">
        <v>17</v>
      </c>
      <c r="J64" s="834">
        <f>MMULT(F64,G64)</f>
        <v>700000</v>
      </c>
      <c r="K64" s="835"/>
      <c r="L64" s="836"/>
      <c r="M64" s="844"/>
      <c r="N64" s="837"/>
      <c r="O64" s="838"/>
      <c r="P64" s="839"/>
      <c r="Q64" s="845"/>
      <c r="R64" s="842">
        <v>2</v>
      </c>
      <c r="S64" s="843">
        <v>5</v>
      </c>
      <c r="T64" s="840"/>
      <c r="U64" s="841" t="s">
        <v>122</v>
      </c>
    </row>
    <row r="65" spans="1:21" s="151" customFormat="1" ht="18" customHeight="1">
      <c r="A65" s="1257"/>
      <c r="B65" s="187" t="s">
        <v>20</v>
      </c>
      <c r="C65" s="938" t="s">
        <v>41</v>
      </c>
      <c r="D65" s="984" t="s">
        <v>33</v>
      </c>
      <c r="E65" s="167"/>
      <c r="F65" s="80">
        <v>66</v>
      </c>
      <c r="G65" s="203">
        <v>99000</v>
      </c>
      <c r="H65" s="947" t="s">
        <v>189</v>
      </c>
      <c r="I65" s="452" t="s">
        <v>17</v>
      </c>
      <c r="J65" s="153"/>
      <c r="K65" s="93"/>
      <c r="L65" s="415"/>
      <c r="M65" s="944"/>
      <c r="N65" s="23"/>
      <c r="O65" s="24"/>
      <c r="P65" s="21"/>
      <c r="Q65" s="945"/>
      <c r="R65" s="946"/>
      <c r="S65" s="86"/>
      <c r="T65" s="68"/>
      <c r="U65" s="791"/>
    </row>
    <row r="66" spans="1:21" s="20" customFormat="1" ht="18" customHeight="1">
      <c r="A66" s="1257"/>
      <c r="B66" s="188">
        <v>12</v>
      </c>
      <c r="C66" s="938" t="s">
        <v>41</v>
      </c>
      <c r="D66" s="983" t="s">
        <v>39</v>
      </c>
      <c r="E66" s="169">
        <f t="shared" ref="E66:E86" si="7">SUM(R66,P66,N66,L66)</f>
        <v>8</v>
      </c>
      <c r="F66" s="80">
        <f>SUM(K66,M66,O66,Q66,S66)</f>
        <v>17.600000000000001</v>
      </c>
      <c r="G66" s="203">
        <v>110000</v>
      </c>
      <c r="H66" s="1016" t="s">
        <v>184</v>
      </c>
      <c r="I66" s="452" t="s">
        <v>17</v>
      </c>
      <c r="J66" s="153">
        <f t="shared" si="6"/>
        <v>1936000.0000000002</v>
      </c>
      <c r="K66" s="93"/>
      <c r="L66" s="654"/>
      <c r="M66" s="828"/>
      <c r="N66" s="829"/>
      <c r="O66" s="250"/>
      <c r="P66" s="36"/>
      <c r="Q66" s="830"/>
      <c r="R66" s="831">
        <v>8</v>
      </c>
      <c r="S66" s="832">
        <f>MMULT(R66,2.2)</f>
        <v>17.600000000000001</v>
      </c>
      <c r="T66" s="69"/>
      <c r="U66" s="833"/>
    </row>
    <row r="67" spans="1:21" s="151" customFormat="1" ht="18" customHeight="1">
      <c r="A67" s="1257"/>
      <c r="B67" s="974" t="s">
        <v>52</v>
      </c>
      <c r="C67" s="940" t="s">
        <v>43</v>
      </c>
      <c r="D67" s="984" t="s">
        <v>33</v>
      </c>
      <c r="E67" s="354"/>
      <c r="F67" s="200">
        <v>25</v>
      </c>
      <c r="G67" s="1185">
        <v>97000</v>
      </c>
      <c r="H67" s="947" t="s">
        <v>189</v>
      </c>
      <c r="I67" s="453" t="s">
        <v>190</v>
      </c>
      <c r="J67" s="44"/>
      <c r="K67" s="344"/>
      <c r="L67" s="664"/>
      <c r="M67" s="511"/>
      <c r="N67" s="975"/>
      <c r="O67" s="925"/>
      <c r="P67" s="967"/>
      <c r="Q67" s="976"/>
      <c r="R67" s="357"/>
      <c r="S67" s="345"/>
      <c r="T67" s="729"/>
      <c r="U67" s="183"/>
    </row>
    <row r="68" spans="1:21" s="151" customFormat="1" ht="18" customHeight="1">
      <c r="A68" s="1257"/>
      <c r="B68" s="446" t="s">
        <v>23</v>
      </c>
      <c r="C68" s="939" t="s">
        <v>41</v>
      </c>
      <c r="D68" s="984" t="s">
        <v>33</v>
      </c>
      <c r="E68" s="170">
        <f>SUM(R68,P68,N68,L68)</f>
        <v>2</v>
      </c>
      <c r="F68" s="81">
        <f>SUM(K68,M68,O68,Q68,S68)</f>
        <v>3.6</v>
      </c>
      <c r="G68" s="1186">
        <v>98000</v>
      </c>
      <c r="H68" s="1017" t="s">
        <v>176</v>
      </c>
      <c r="I68" s="454" t="s">
        <v>17</v>
      </c>
      <c r="J68" s="930">
        <f t="shared" si="6"/>
        <v>352800</v>
      </c>
      <c r="K68" s="344"/>
      <c r="L68" s="641"/>
      <c r="M68" s="511"/>
      <c r="N68" s="355"/>
      <c r="O68" s="252"/>
      <c r="P68" s="251"/>
      <c r="Q68" s="356"/>
      <c r="R68" s="357">
        <v>2</v>
      </c>
      <c r="S68" s="345">
        <f>MMULT(R68,1.8)</f>
        <v>3.6</v>
      </c>
      <c r="T68" s="729"/>
      <c r="U68" s="183" t="s">
        <v>122</v>
      </c>
    </row>
    <row r="69" spans="1:21" s="151" customFormat="1" ht="18" customHeight="1">
      <c r="A69" s="1257"/>
      <c r="B69" s="188" t="s">
        <v>23</v>
      </c>
      <c r="C69" s="940" t="s">
        <v>43</v>
      </c>
      <c r="D69" s="985" t="s">
        <v>69</v>
      </c>
      <c r="E69" s="354"/>
      <c r="F69" s="200">
        <v>40</v>
      </c>
      <c r="G69" s="1185">
        <v>105000</v>
      </c>
      <c r="H69" s="947" t="s">
        <v>189</v>
      </c>
      <c r="I69" s="453" t="s">
        <v>190</v>
      </c>
      <c r="J69" s="44"/>
      <c r="K69" s="344"/>
      <c r="L69" s="641"/>
      <c r="M69" s="511"/>
      <c r="N69" s="355"/>
      <c r="O69" s="252"/>
      <c r="P69" s="251"/>
      <c r="Q69" s="356"/>
      <c r="R69" s="357"/>
      <c r="S69" s="345"/>
      <c r="T69" s="729"/>
      <c r="U69" s="183"/>
    </row>
    <row r="70" spans="1:21" s="20" customFormat="1" ht="18" customHeight="1">
      <c r="A70" s="1257"/>
      <c r="B70" s="189">
        <v>9</v>
      </c>
      <c r="C70" s="941" t="s">
        <v>41</v>
      </c>
      <c r="D70" s="986" t="s">
        <v>38</v>
      </c>
      <c r="E70" s="170">
        <f t="shared" si="7"/>
        <v>1</v>
      </c>
      <c r="F70" s="81">
        <f t="shared" si="4"/>
        <v>1.65</v>
      </c>
      <c r="G70" s="1186">
        <v>100000</v>
      </c>
      <c r="H70" s="1018" t="s">
        <v>128</v>
      </c>
      <c r="I70" s="454" t="s">
        <v>17</v>
      </c>
      <c r="J70" s="66">
        <f t="shared" si="6"/>
        <v>165000</v>
      </c>
      <c r="K70" s="94"/>
      <c r="L70" s="642"/>
      <c r="M70" s="512"/>
      <c r="N70" s="51"/>
      <c r="O70" s="52"/>
      <c r="P70" s="50"/>
      <c r="Q70" s="53"/>
      <c r="R70" s="54">
        <v>1</v>
      </c>
      <c r="S70" s="55">
        <f>MMULT(R70,1.65)</f>
        <v>1.65</v>
      </c>
      <c r="T70" s="70"/>
      <c r="U70" s="181"/>
    </row>
    <row r="71" spans="1:21" s="151" customFormat="1" ht="18" customHeight="1">
      <c r="A71" s="1257"/>
      <c r="B71" s="685" t="s">
        <v>24</v>
      </c>
      <c r="C71" s="942" t="s">
        <v>43</v>
      </c>
      <c r="D71" s="982" t="s">
        <v>38</v>
      </c>
      <c r="E71" s="220">
        <f>SUM(R71,P71,N71,L71)</f>
        <v>4</v>
      </c>
      <c r="F71" s="198">
        <f>SUM(K71,M71,O71,Q71,S71)</f>
        <v>6.32</v>
      </c>
      <c r="G71" s="1022">
        <v>97000</v>
      </c>
      <c r="H71" s="947" t="s">
        <v>189</v>
      </c>
      <c r="I71" s="455" t="s">
        <v>17</v>
      </c>
      <c r="J71" s="159">
        <f>MMULT(F71,G71)</f>
        <v>613040</v>
      </c>
      <c r="K71" s="221"/>
      <c r="L71" s="643"/>
      <c r="M71" s="513"/>
      <c r="N71" s="686"/>
      <c r="O71" s="131"/>
      <c r="P71" s="130"/>
      <c r="Q71" s="132"/>
      <c r="R71" s="687">
        <v>4</v>
      </c>
      <c r="S71" s="688">
        <f>MMULT(R71,1.58)</f>
        <v>6.32</v>
      </c>
      <c r="T71" s="222"/>
      <c r="U71" s="212" t="s">
        <v>71</v>
      </c>
    </row>
    <row r="72" spans="1:21" s="151" customFormat="1" ht="18" customHeight="1">
      <c r="A72" s="1257"/>
      <c r="B72" s="685" t="s">
        <v>24</v>
      </c>
      <c r="C72" s="942" t="s">
        <v>43</v>
      </c>
      <c r="D72" s="982" t="s">
        <v>56</v>
      </c>
      <c r="E72" s="220">
        <v>9</v>
      </c>
      <c r="F72" s="198">
        <v>15</v>
      </c>
      <c r="G72" s="1022">
        <v>97000</v>
      </c>
      <c r="H72" s="947" t="s">
        <v>189</v>
      </c>
      <c r="I72" s="455" t="s">
        <v>190</v>
      </c>
      <c r="J72" s="159"/>
      <c r="K72" s="221"/>
      <c r="L72" s="643"/>
      <c r="M72" s="513"/>
      <c r="N72" s="686"/>
      <c r="O72" s="131"/>
      <c r="P72" s="130"/>
      <c r="Q72" s="132"/>
      <c r="R72" s="687"/>
      <c r="S72" s="688"/>
      <c r="T72" s="222"/>
      <c r="U72" s="212"/>
    </row>
    <row r="73" spans="1:21" s="151" customFormat="1" ht="18" customHeight="1">
      <c r="A73" s="1257"/>
      <c r="B73" s="446" t="s">
        <v>24</v>
      </c>
      <c r="C73" s="942" t="s">
        <v>67</v>
      </c>
      <c r="D73" s="982" t="s">
        <v>36</v>
      </c>
      <c r="E73" s="802">
        <f t="shared" si="7"/>
        <v>1</v>
      </c>
      <c r="F73" s="198">
        <f t="shared" si="4"/>
        <v>1.3</v>
      </c>
      <c r="G73" s="1022">
        <v>69000</v>
      </c>
      <c r="H73" s="1019" t="s">
        <v>94</v>
      </c>
      <c r="I73" s="455" t="s">
        <v>17</v>
      </c>
      <c r="J73" s="159">
        <f t="shared" si="6"/>
        <v>89700</v>
      </c>
      <c r="K73" s="221"/>
      <c r="L73" s="643"/>
      <c r="M73" s="513"/>
      <c r="N73" s="447"/>
      <c r="O73" s="448"/>
      <c r="P73" s="130"/>
      <c r="Q73" s="132"/>
      <c r="R73" s="223">
        <v>1</v>
      </c>
      <c r="S73" s="56">
        <f>MMULT(R73,1.3)</f>
        <v>1.3</v>
      </c>
      <c r="T73" s="222"/>
      <c r="U73" s="212"/>
    </row>
    <row r="74" spans="1:21" s="151" customFormat="1" ht="18" customHeight="1">
      <c r="A74" s="1257"/>
      <c r="B74" s="194" t="s">
        <v>24</v>
      </c>
      <c r="C74" s="963" t="s">
        <v>43</v>
      </c>
      <c r="D74" s="980" t="s">
        <v>69</v>
      </c>
      <c r="E74" s="928"/>
      <c r="F74" s="769">
        <v>9</v>
      </c>
      <c r="G74" s="286">
        <v>105000</v>
      </c>
      <c r="H74" s="470" t="s">
        <v>189</v>
      </c>
      <c r="I74" s="451" t="s">
        <v>17</v>
      </c>
      <c r="J74" s="929"/>
      <c r="K74" s="344"/>
      <c r="L74" s="641"/>
      <c r="M74" s="511"/>
      <c r="N74" s="924"/>
      <c r="O74" s="925"/>
      <c r="P74" s="251"/>
      <c r="Q74" s="849"/>
      <c r="R74" s="926"/>
      <c r="S74" s="728"/>
      <c r="T74" s="927"/>
      <c r="U74" s="183"/>
    </row>
    <row r="75" spans="1:21" s="151" customFormat="1" ht="18" customHeight="1" thickBot="1">
      <c r="A75" s="1258"/>
      <c r="B75" s="505" t="s">
        <v>24</v>
      </c>
      <c r="C75" s="943" t="s">
        <v>43</v>
      </c>
      <c r="D75" s="987" t="s">
        <v>69</v>
      </c>
      <c r="E75" s="506">
        <f t="shared" si="7"/>
        <v>26</v>
      </c>
      <c r="F75" s="214">
        <f t="shared" si="4"/>
        <v>33.800000000000004</v>
      </c>
      <c r="G75" s="910">
        <v>96000</v>
      </c>
      <c r="H75" s="507" t="s">
        <v>61</v>
      </c>
      <c r="I75" s="457" t="s">
        <v>17</v>
      </c>
      <c r="J75" s="215">
        <f t="shared" si="6"/>
        <v>3244800.0000000005</v>
      </c>
      <c r="K75" s="508"/>
      <c r="L75" s="644"/>
      <c r="M75" s="514"/>
      <c r="N75" s="526"/>
      <c r="O75" s="527"/>
      <c r="P75" s="255"/>
      <c r="Q75" s="256"/>
      <c r="R75" s="528">
        <v>26</v>
      </c>
      <c r="S75" s="257">
        <f>MMULT(R75,1.3)</f>
        <v>33.800000000000004</v>
      </c>
      <c r="T75" s="509"/>
      <c r="U75" s="510"/>
    </row>
    <row r="76" spans="1:21" s="151" customFormat="1" ht="18" customHeight="1">
      <c r="A76" s="1274">
        <v>530</v>
      </c>
      <c r="B76" s="701" t="s">
        <v>38</v>
      </c>
      <c r="C76" s="1102" t="s">
        <v>43</v>
      </c>
      <c r="D76" s="1071" t="s">
        <v>33</v>
      </c>
      <c r="E76" s="1103">
        <f>SUM(R76,P76,N76,L76)</f>
        <v>2</v>
      </c>
      <c r="F76" s="1104">
        <f>SUM(K76,M76,O76,Q76,S76)</f>
        <v>5.78</v>
      </c>
      <c r="G76" s="1187">
        <v>110000</v>
      </c>
      <c r="H76" s="1105" t="s">
        <v>145</v>
      </c>
      <c r="I76" s="1106" t="s">
        <v>17</v>
      </c>
      <c r="J76" s="224">
        <f>MMULT(F76,G76)</f>
        <v>635800</v>
      </c>
      <c r="K76" s="263"/>
      <c r="L76" s="658"/>
      <c r="M76" s="710"/>
      <c r="N76" s="698"/>
      <c r="O76" s="699"/>
      <c r="P76" s="700"/>
      <c r="Q76" s="247"/>
      <c r="R76" s="709">
        <v>2</v>
      </c>
      <c r="S76" s="261">
        <f>MMULT(R76,2.89)</f>
        <v>5.78</v>
      </c>
      <c r="T76" s="347"/>
      <c r="U76" s="179"/>
    </row>
    <row r="77" spans="1:21" s="20" customFormat="1" ht="18" customHeight="1">
      <c r="A77" s="1275"/>
      <c r="B77" s="702">
        <v>16</v>
      </c>
      <c r="C77" s="1102" t="s">
        <v>67</v>
      </c>
      <c r="D77" s="1079" t="s">
        <v>211</v>
      </c>
      <c r="E77" s="1107">
        <f t="shared" si="7"/>
        <v>4</v>
      </c>
      <c r="F77" s="1088">
        <f t="shared" ref="F77:F94" si="8">SUM(K77,M77,O77,Q77,S77)</f>
        <v>8.8000000000000007</v>
      </c>
      <c r="G77" s="203">
        <v>79000</v>
      </c>
      <c r="H77" s="1108" t="s">
        <v>144</v>
      </c>
      <c r="I77" s="1085" t="s">
        <v>17</v>
      </c>
      <c r="J77" s="153">
        <f t="shared" ref="J77:J99" si="9">MMULT(F77,G77)</f>
        <v>695200</v>
      </c>
      <c r="K77" s="93"/>
      <c r="L77" s="645"/>
      <c r="M77" s="154"/>
      <c r="N77" s="501"/>
      <c r="O77" s="184"/>
      <c r="P77" s="36"/>
      <c r="Q77" s="42"/>
      <c r="R77" s="502">
        <v>4</v>
      </c>
      <c r="S77" s="503">
        <f>MMULT(R77,2.2)</f>
        <v>8.8000000000000007</v>
      </c>
      <c r="T77" s="504"/>
      <c r="U77" s="109"/>
    </row>
    <row r="78" spans="1:21" s="151" customFormat="1" ht="18" customHeight="1">
      <c r="A78" s="1275"/>
      <c r="B78" s="853" t="s">
        <v>49</v>
      </c>
      <c r="C78" s="1102" t="s">
        <v>43</v>
      </c>
      <c r="D78" s="1094" t="s">
        <v>33</v>
      </c>
      <c r="E78" s="1109"/>
      <c r="F78" s="1110">
        <v>10</v>
      </c>
      <c r="G78" s="1022">
        <v>115000</v>
      </c>
      <c r="H78" s="1038" t="s">
        <v>189</v>
      </c>
      <c r="I78" s="1111" t="s">
        <v>17</v>
      </c>
      <c r="J78" s="44"/>
      <c r="K78" s="344"/>
      <c r="L78" s="964"/>
      <c r="M78" s="684"/>
      <c r="N78" s="965"/>
      <c r="O78" s="966"/>
      <c r="P78" s="967"/>
      <c r="Q78" s="968"/>
      <c r="R78" s="926"/>
      <c r="S78" s="969"/>
      <c r="T78" s="970"/>
      <c r="U78" s="183"/>
    </row>
    <row r="79" spans="1:21" s="151" customFormat="1" ht="18" customHeight="1">
      <c r="A79" s="1275"/>
      <c r="B79" s="853">
        <v>12</v>
      </c>
      <c r="C79" s="1112" t="s">
        <v>203</v>
      </c>
      <c r="D79" s="1079" t="s">
        <v>46</v>
      </c>
      <c r="E79" s="1109"/>
      <c r="F79" s="1110">
        <f>SUM(K79,M79,O79,Q79,S79)</f>
        <v>6.7480000000000002</v>
      </c>
      <c r="G79" s="1022">
        <v>85000</v>
      </c>
      <c r="H79" s="1080"/>
      <c r="I79" s="1111" t="s">
        <v>17</v>
      </c>
      <c r="J79" s="159">
        <f>MMULT(F79,G79)</f>
        <v>573580</v>
      </c>
      <c r="K79" s="221"/>
      <c r="L79" s="854"/>
      <c r="M79" s="855"/>
      <c r="N79" s="856"/>
      <c r="O79" s="857"/>
      <c r="P79" s="163"/>
      <c r="Q79" s="858"/>
      <c r="R79" s="223"/>
      <c r="S79" s="859">
        <v>6.7480000000000002</v>
      </c>
      <c r="T79" s="860"/>
      <c r="U79" s="212"/>
    </row>
    <row r="80" spans="1:21" s="20" customFormat="1" ht="18" customHeight="1">
      <c r="A80" s="1275"/>
      <c r="B80" s="702">
        <v>12</v>
      </c>
      <c r="C80" s="1102" t="s">
        <v>203</v>
      </c>
      <c r="D80" s="1094" t="s">
        <v>46</v>
      </c>
      <c r="E80" s="1107">
        <f t="shared" si="7"/>
        <v>2</v>
      </c>
      <c r="F80" s="1088">
        <f t="shared" si="8"/>
        <v>2.7360000000000002</v>
      </c>
      <c r="G80" s="203">
        <v>85000</v>
      </c>
      <c r="H80" s="1108" t="s">
        <v>86</v>
      </c>
      <c r="I80" s="1085" t="s">
        <v>17</v>
      </c>
      <c r="J80" s="153">
        <f t="shared" si="9"/>
        <v>232560.00000000003</v>
      </c>
      <c r="K80" s="93"/>
      <c r="L80" s="646"/>
      <c r="M80" s="154"/>
      <c r="N80" s="30"/>
      <c r="O80" s="31"/>
      <c r="P80" s="152"/>
      <c r="Q80" s="155"/>
      <c r="R80" s="28">
        <v>2</v>
      </c>
      <c r="S80" s="33">
        <v>2.7360000000000002</v>
      </c>
      <c r="T80" s="76"/>
      <c r="U80" s="109"/>
    </row>
    <row r="81" spans="1:21" s="20" customFormat="1" ht="18" customHeight="1">
      <c r="A81" s="1275"/>
      <c r="B81" s="702" t="s">
        <v>20</v>
      </c>
      <c r="C81" s="1102" t="s">
        <v>43</v>
      </c>
      <c r="D81" s="1094" t="s">
        <v>33</v>
      </c>
      <c r="E81" s="1107">
        <v>8</v>
      </c>
      <c r="F81" s="1088">
        <v>10</v>
      </c>
      <c r="G81" s="203">
        <v>97000</v>
      </c>
      <c r="H81" s="1038" t="s">
        <v>189</v>
      </c>
      <c r="I81" s="1085" t="s">
        <v>17</v>
      </c>
      <c r="J81" s="153">
        <f t="shared" si="9"/>
        <v>970000</v>
      </c>
      <c r="K81" s="93"/>
      <c r="L81" s="646"/>
      <c r="M81" s="154"/>
      <c r="N81" s="30"/>
      <c r="O81" s="31"/>
      <c r="P81" s="152"/>
      <c r="Q81" s="155"/>
      <c r="R81" s="28">
        <v>1</v>
      </c>
      <c r="S81" s="33">
        <v>1.5</v>
      </c>
      <c r="T81" s="76"/>
      <c r="U81" s="109"/>
    </row>
    <row r="82" spans="1:21" s="151" customFormat="1" ht="18" customHeight="1">
      <c r="A82" s="1275"/>
      <c r="B82" s="702" t="s">
        <v>20</v>
      </c>
      <c r="C82" s="1102" t="s">
        <v>43</v>
      </c>
      <c r="D82" s="1094" t="s">
        <v>39</v>
      </c>
      <c r="E82" s="1107">
        <f>SUM(R82,P82,N82,L82)</f>
        <v>2</v>
      </c>
      <c r="F82" s="1088">
        <f>SUM(K82,M82,O82,Q82,S82)</f>
        <v>3.52</v>
      </c>
      <c r="G82" s="203">
        <v>97000</v>
      </c>
      <c r="H82" s="1108" t="s">
        <v>150</v>
      </c>
      <c r="I82" s="1085" t="s">
        <v>17</v>
      </c>
      <c r="J82" s="153">
        <f>MMULT(F82,G82)</f>
        <v>341440</v>
      </c>
      <c r="K82" s="93"/>
      <c r="L82" s="647"/>
      <c r="M82" s="154"/>
      <c r="N82" s="30"/>
      <c r="O82" s="31"/>
      <c r="P82" s="152"/>
      <c r="Q82" s="155"/>
      <c r="R82" s="28">
        <v>2</v>
      </c>
      <c r="S82" s="33">
        <f>MMULT(R82,1.76)</f>
        <v>3.52</v>
      </c>
      <c r="T82" s="76"/>
      <c r="U82" s="109"/>
    </row>
    <row r="83" spans="1:21" s="151" customFormat="1" ht="18" customHeight="1">
      <c r="A83" s="1275"/>
      <c r="B83" s="702" t="s">
        <v>20</v>
      </c>
      <c r="C83" s="1102" t="s">
        <v>203</v>
      </c>
      <c r="D83" s="1094" t="s">
        <v>38</v>
      </c>
      <c r="E83" s="1107">
        <f t="shared" si="7"/>
        <v>10</v>
      </c>
      <c r="F83" s="1088">
        <f t="shared" si="8"/>
        <v>18.400000000000002</v>
      </c>
      <c r="G83" s="203">
        <v>85000</v>
      </c>
      <c r="H83" s="1108" t="s">
        <v>146</v>
      </c>
      <c r="I83" s="1085" t="s">
        <v>17</v>
      </c>
      <c r="J83" s="153">
        <f t="shared" si="9"/>
        <v>1564000.0000000002</v>
      </c>
      <c r="K83" s="93"/>
      <c r="L83" s="648"/>
      <c r="M83" s="154"/>
      <c r="N83" s="30"/>
      <c r="O83" s="31"/>
      <c r="P83" s="152"/>
      <c r="Q83" s="155"/>
      <c r="R83" s="28">
        <v>10</v>
      </c>
      <c r="S83" s="33">
        <f>MMULT(R83,1.84)</f>
        <v>18.400000000000002</v>
      </c>
      <c r="T83" s="76"/>
      <c r="U83" s="109"/>
    </row>
    <row r="84" spans="1:21" s="151" customFormat="1" ht="18" customHeight="1">
      <c r="A84" s="1275"/>
      <c r="B84" s="702" t="s">
        <v>20</v>
      </c>
      <c r="C84" s="1102" t="s">
        <v>203</v>
      </c>
      <c r="D84" s="1094" t="s">
        <v>56</v>
      </c>
      <c r="E84" s="1107">
        <f>SUM(R84,P84,N84,L84)</f>
        <v>1</v>
      </c>
      <c r="F84" s="1088">
        <f>SUM(K84,M84,O84,Q84,S84)</f>
        <v>1.84</v>
      </c>
      <c r="G84" s="203">
        <v>85000</v>
      </c>
      <c r="H84" s="1108">
        <v>11.65</v>
      </c>
      <c r="I84" s="1085" t="s">
        <v>17</v>
      </c>
      <c r="J84" s="153">
        <f>MMULT(F84,G84)</f>
        <v>156400</v>
      </c>
      <c r="K84" s="93"/>
      <c r="L84" s="649"/>
      <c r="M84" s="154"/>
      <c r="N84" s="30"/>
      <c r="O84" s="31"/>
      <c r="P84" s="152"/>
      <c r="Q84" s="155"/>
      <c r="R84" s="28">
        <v>1</v>
      </c>
      <c r="S84" s="33">
        <f>MMULT(R84,1.84)</f>
        <v>1.84</v>
      </c>
      <c r="T84" s="76"/>
      <c r="U84" s="109"/>
    </row>
    <row r="85" spans="1:21" s="151" customFormat="1" ht="18" customHeight="1">
      <c r="A85" s="1275"/>
      <c r="B85" s="702" t="s">
        <v>20</v>
      </c>
      <c r="C85" s="1102" t="s">
        <v>43</v>
      </c>
      <c r="D85" s="1094" t="s">
        <v>202</v>
      </c>
      <c r="E85" s="1107"/>
      <c r="F85" s="1088">
        <v>10</v>
      </c>
      <c r="G85" s="203">
        <v>97000</v>
      </c>
      <c r="H85" s="1108" t="s">
        <v>201</v>
      </c>
      <c r="I85" s="1085" t="s">
        <v>190</v>
      </c>
      <c r="J85" s="153"/>
      <c r="K85" s="93"/>
      <c r="L85" s="649"/>
      <c r="M85" s="154"/>
      <c r="N85" s="30"/>
      <c r="O85" s="31"/>
      <c r="P85" s="152"/>
      <c r="Q85" s="155"/>
      <c r="R85" s="28"/>
      <c r="S85" s="33"/>
      <c r="T85" s="76"/>
      <c r="U85" s="109"/>
    </row>
    <row r="86" spans="1:21" s="151" customFormat="1" ht="18" customHeight="1">
      <c r="A86" s="1275"/>
      <c r="B86" s="702" t="s">
        <v>23</v>
      </c>
      <c r="C86" s="1102" t="s">
        <v>41</v>
      </c>
      <c r="D86" s="1094" t="s">
        <v>69</v>
      </c>
      <c r="E86" s="1107">
        <f t="shared" si="7"/>
        <v>3</v>
      </c>
      <c r="F86" s="1088">
        <f t="shared" si="8"/>
        <v>4.59</v>
      </c>
      <c r="G86" s="203">
        <v>94000</v>
      </c>
      <c r="H86" s="1108" t="s">
        <v>148</v>
      </c>
      <c r="I86" s="1085" t="s">
        <v>17</v>
      </c>
      <c r="J86" s="153">
        <f t="shared" si="9"/>
        <v>431460</v>
      </c>
      <c r="K86" s="93"/>
      <c r="L86" s="643"/>
      <c r="M86" s="154"/>
      <c r="N86" s="30"/>
      <c r="O86" s="31"/>
      <c r="P86" s="152"/>
      <c r="Q86" s="155"/>
      <c r="R86" s="28">
        <v>3</v>
      </c>
      <c r="S86" s="33">
        <f>MMULT(R86,1.53)</f>
        <v>4.59</v>
      </c>
      <c r="T86" s="76"/>
      <c r="U86" s="109"/>
    </row>
    <row r="87" spans="1:21" s="151" customFormat="1" ht="18" customHeight="1">
      <c r="A87" s="1275"/>
      <c r="B87" s="702" t="s">
        <v>23</v>
      </c>
      <c r="C87" s="1102" t="s">
        <v>41</v>
      </c>
      <c r="D87" s="1094" t="s">
        <v>147</v>
      </c>
      <c r="E87" s="1107">
        <f t="shared" ref="E87:E97" si="10">SUM(R87,P87,N87,L87)</f>
        <v>13</v>
      </c>
      <c r="F87" s="1088">
        <f>SUM(K87,M87,O87,Q87,S87)</f>
        <v>19.5</v>
      </c>
      <c r="G87" s="203">
        <v>94000</v>
      </c>
      <c r="H87" s="1108" t="s">
        <v>174</v>
      </c>
      <c r="I87" s="1085" t="s">
        <v>17</v>
      </c>
      <c r="J87" s="153">
        <f>MMULT(F87,G87)</f>
        <v>1833000</v>
      </c>
      <c r="K87" s="93"/>
      <c r="L87" s="681"/>
      <c r="M87" s="154"/>
      <c r="N87" s="30"/>
      <c r="O87" s="31"/>
      <c r="P87" s="152"/>
      <c r="Q87" s="155"/>
      <c r="R87" s="28">
        <v>13</v>
      </c>
      <c r="S87" s="33">
        <f>MMULT(R87,1.5)</f>
        <v>19.5</v>
      </c>
      <c r="T87" s="76"/>
      <c r="U87" s="109"/>
    </row>
    <row r="88" spans="1:21" s="151" customFormat="1" ht="18" customHeight="1">
      <c r="A88" s="1275"/>
      <c r="B88" s="702" t="s">
        <v>23</v>
      </c>
      <c r="C88" s="1102" t="s">
        <v>41</v>
      </c>
      <c r="D88" s="1094" t="s">
        <v>38</v>
      </c>
      <c r="E88" s="1107">
        <f t="shared" si="10"/>
        <v>8</v>
      </c>
      <c r="F88" s="1088">
        <f t="shared" si="8"/>
        <v>9.6</v>
      </c>
      <c r="G88" s="203">
        <v>82000</v>
      </c>
      <c r="H88" s="1108" t="s">
        <v>149</v>
      </c>
      <c r="I88" s="1085" t="s">
        <v>17</v>
      </c>
      <c r="J88" s="153">
        <f t="shared" si="9"/>
        <v>787200</v>
      </c>
      <c r="K88" s="93"/>
      <c r="L88" s="646"/>
      <c r="M88" s="154"/>
      <c r="N88" s="30"/>
      <c r="O88" s="31"/>
      <c r="P88" s="152"/>
      <c r="Q88" s="155"/>
      <c r="R88" s="28">
        <v>8</v>
      </c>
      <c r="S88" s="33">
        <f>MMULT(R88,1.2)</f>
        <v>9.6</v>
      </c>
      <c r="T88" s="76"/>
      <c r="U88" s="109"/>
    </row>
    <row r="89" spans="1:21" s="151" customFormat="1" ht="18" customHeight="1">
      <c r="A89" s="1275"/>
      <c r="B89" s="846" t="s">
        <v>23</v>
      </c>
      <c r="C89" s="1112" t="s">
        <v>43</v>
      </c>
      <c r="D89" s="1090" t="s">
        <v>69</v>
      </c>
      <c r="E89" s="1113"/>
      <c r="F89" s="1114">
        <v>30</v>
      </c>
      <c r="G89" s="1185">
        <v>97000</v>
      </c>
      <c r="H89" s="1080" t="s">
        <v>189</v>
      </c>
      <c r="I89" s="1115" t="s">
        <v>190</v>
      </c>
      <c r="J89" s="44"/>
      <c r="K89" s="344"/>
      <c r="L89" s="647"/>
      <c r="M89" s="684"/>
      <c r="N89" s="847"/>
      <c r="O89" s="848"/>
      <c r="P89" s="251"/>
      <c r="Q89" s="849"/>
      <c r="R89" s="850"/>
      <c r="S89" s="851"/>
      <c r="T89" s="852"/>
      <c r="U89" s="183"/>
    </row>
    <row r="90" spans="1:21" s="151" customFormat="1" ht="18" customHeight="1">
      <c r="A90" s="1275"/>
      <c r="B90" s="742" t="s">
        <v>23</v>
      </c>
      <c r="C90" s="1116" t="s">
        <v>199</v>
      </c>
      <c r="D90" s="1117" t="s">
        <v>38</v>
      </c>
      <c r="E90" s="1118"/>
      <c r="F90" s="1119">
        <v>27</v>
      </c>
      <c r="G90" s="1186">
        <v>75000</v>
      </c>
      <c r="H90" s="1120"/>
      <c r="I90" s="1121" t="s">
        <v>17</v>
      </c>
      <c r="J90" s="44"/>
      <c r="K90" s="344"/>
      <c r="L90" s="647"/>
      <c r="M90" s="684"/>
      <c r="N90" s="847"/>
      <c r="O90" s="848"/>
      <c r="P90" s="251"/>
      <c r="Q90" s="849"/>
      <c r="R90" s="850"/>
      <c r="S90" s="851"/>
      <c r="T90" s="852"/>
      <c r="U90" s="183"/>
    </row>
    <row r="91" spans="1:21" s="151" customFormat="1" ht="18" customHeight="1">
      <c r="A91" s="1275"/>
      <c r="B91" s="846" t="s">
        <v>51</v>
      </c>
      <c r="C91" s="1122" t="s">
        <v>203</v>
      </c>
      <c r="D91" s="1090" t="s">
        <v>46</v>
      </c>
      <c r="E91" s="1113">
        <f t="shared" si="10"/>
        <v>1</v>
      </c>
      <c r="F91" s="1114">
        <f t="shared" si="8"/>
        <v>1.2689999999999999</v>
      </c>
      <c r="G91" s="1185">
        <v>85000</v>
      </c>
      <c r="H91" s="1092"/>
      <c r="I91" s="1115" t="s">
        <v>17</v>
      </c>
      <c r="J91" s="44">
        <f t="shared" si="9"/>
        <v>107864.99999999999</v>
      </c>
      <c r="K91" s="344"/>
      <c r="L91" s="647"/>
      <c r="M91" s="684"/>
      <c r="N91" s="847"/>
      <c r="O91" s="848"/>
      <c r="P91" s="251"/>
      <c r="Q91" s="849"/>
      <c r="R91" s="850">
        <v>1</v>
      </c>
      <c r="S91" s="851">
        <v>1.2689999999999999</v>
      </c>
      <c r="T91" s="852"/>
      <c r="U91" s="183"/>
    </row>
    <row r="92" spans="1:21" s="151" customFormat="1" ht="18" customHeight="1">
      <c r="A92" s="1275"/>
      <c r="B92" s="742" t="s">
        <v>51</v>
      </c>
      <c r="C92" s="1116" t="s">
        <v>41</v>
      </c>
      <c r="D92" s="1117" t="s">
        <v>38</v>
      </c>
      <c r="E92" s="1118">
        <f t="shared" si="10"/>
        <v>1</v>
      </c>
      <c r="F92" s="1119">
        <f t="shared" si="8"/>
        <v>1.35</v>
      </c>
      <c r="G92" s="1186">
        <v>86000</v>
      </c>
      <c r="H92" s="1120">
        <v>11.65</v>
      </c>
      <c r="I92" s="1121" t="s">
        <v>17</v>
      </c>
      <c r="J92" s="66">
        <f t="shared" si="9"/>
        <v>116100.00000000001</v>
      </c>
      <c r="K92" s="94"/>
      <c r="L92" s="743"/>
      <c r="M92" s="744"/>
      <c r="N92" s="745"/>
      <c r="O92" s="746"/>
      <c r="P92" s="50"/>
      <c r="Q92" s="553"/>
      <c r="R92" s="54">
        <v>1</v>
      </c>
      <c r="S92" s="747">
        <v>1.35</v>
      </c>
      <c r="T92" s="748"/>
      <c r="U92" s="181"/>
    </row>
    <row r="93" spans="1:21" s="151" customFormat="1" ht="18" customHeight="1">
      <c r="A93" s="1275"/>
      <c r="B93" s="853" t="s">
        <v>24</v>
      </c>
      <c r="C93" s="1112" t="s">
        <v>43</v>
      </c>
      <c r="D93" s="1079" t="s">
        <v>56</v>
      </c>
      <c r="E93" s="1109"/>
      <c r="F93" s="1110">
        <v>32</v>
      </c>
      <c r="G93" s="1022">
        <v>97000</v>
      </c>
      <c r="H93" s="1080" t="s">
        <v>189</v>
      </c>
      <c r="I93" s="1111" t="s">
        <v>190</v>
      </c>
      <c r="J93" s="159"/>
      <c r="K93" s="221"/>
      <c r="L93" s="649"/>
      <c r="M93" s="855"/>
      <c r="N93" s="971"/>
      <c r="O93" s="972"/>
      <c r="P93" s="130"/>
      <c r="Q93" s="132"/>
      <c r="R93" s="687"/>
      <c r="S93" s="973"/>
      <c r="T93" s="359"/>
      <c r="U93" s="212"/>
    </row>
    <row r="94" spans="1:21" s="106" customFormat="1" ht="18" customHeight="1">
      <c r="A94" s="1275"/>
      <c r="B94" s="307" t="s">
        <v>24</v>
      </c>
      <c r="C94" s="1112" t="s">
        <v>203</v>
      </c>
      <c r="D94" s="1079" t="s">
        <v>38</v>
      </c>
      <c r="E94" s="1123">
        <f t="shared" si="10"/>
        <v>27</v>
      </c>
      <c r="F94" s="1110">
        <f t="shared" si="8"/>
        <v>33.75</v>
      </c>
      <c r="G94" s="1022">
        <v>85000</v>
      </c>
      <c r="H94" s="1124" t="s">
        <v>180</v>
      </c>
      <c r="I94" s="1111" t="s">
        <v>17</v>
      </c>
      <c r="J94" s="159">
        <f>MMULT(F94,G94)</f>
        <v>2868750</v>
      </c>
      <c r="K94" s="309"/>
      <c r="L94" s="650"/>
      <c r="M94" s="160"/>
      <c r="N94" s="161"/>
      <c r="O94" s="162"/>
      <c r="P94" s="163"/>
      <c r="Q94" s="164"/>
      <c r="R94" s="533">
        <v>27</v>
      </c>
      <c r="S94" s="173">
        <f>MMULT(R94,1.25)</f>
        <v>33.75</v>
      </c>
      <c r="T94" s="359"/>
      <c r="U94" s="212"/>
    </row>
    <row r="95" spans="1:21" s="106" customFormat="1" ht="18" customHeight="1">
      <c r="A95" s="1275"/>
      <c r="B95" s="307" t="s">
        <v>24</v>
      </c>
      <c r="C95" s="1112" t="s">
        <v>203</v>
      </c>
      <c r="D95" s="1079" t="s">
        <v>38</v>
      </c>
      <c r="E95" s="1123">
        <f t="shared" si="10"/>
        <v>4</v>
      </c>
      <c r="F95" s="1110">
        <f>SUM(K95,M95,O95,Q95,S95)</f>
        <v>5</v>
      </c>
      <c r="G95" s="1022">
        <v>65000</v>
      </c>
      <c r="H95" s="1080" t="s">
        <v>181</v>
      </c>
      <c r="I95" s="1111" t="s">
        <v>17</v>
      </c>
      <c r="J95" s="159">
        <f>MMULT(F95,G95)</f>
        <v>325000</v>
      </c>
      <c r="K95" s="309"/>
      <c r="L95" s="650"/>
      <c r="M95" s="160"/>
      <c r="N95" s="161"/>
      <c r="O95" s="162"/>
      <c r="P95" s="163"/>
      <c r="Q95" s="164"/>
      <c r="R95" s="533">
        <v>4</v>
      </c>
      <c r="S95" s="173">
        <f>MMULT(R95,1.25)</f>
        <v>5</v>
      </c>
      <c r="T95" s="359"/>
      <c r="U95" s="212"/>
    </row>
    <row r="96" spans="1:21" s="106" customFormat="1" ht="18" customHeight="1">
      <c r="A96" s="1275"/>
      <c r="B96" s="307" t="s">
        <v>24</v>
      </c>
      <c r="C96" s="1112" t="s">
        <v>43</v>
      </c>
      <c r="D96" s="1079" t="s">
        <v>200</v>
      </c>
      <c r="E96" s="1123"/>
      <c r="F96" s="1110">
        <v>38</v>
      </c>
      <c r="G96" s="1022">
        <v>97000</v>
      </c>
      <c r="H96" s="1080" t="s">
        <v>201</v>
      </c>
      <c r="I96" s="1111" t="s">
        <v>190</v>
      </c>
      <c r="J96" s="159"/>
      <c r="K96" s="309"/>
      <c r="L96" s="650"/>
      <c r="M96" s="160"/>
      <c r="N96" s="161"/>
      <c r="O96" s="162"/>
      <c r="P96" s="163"/>
      <c r="Q96" s="164"/>
      <c r="R96" s="533"/>
      <c r="S96" s="173"/>
      <c r="T96" s="359"/>
      <c r="U96" s="212"/>
    </row>
    <row r="97" spans="1:21" s="106" customFormat="1" ht="18" customHeight="1">
      <c r="A97" s="1275"/>
      <c r="B97" s="307" t="s">
        <v>24</v>
      </c>
      <c r="C97" s="1112" t="s">
        <v>18</v>
      </c>
      <c r="D97" s="1073" t="s">
        <v>36</v>
      </c>
      <c r="E97" s="1123">
        <f t="shared" si="10"/>
        <v>35</v>
      </c>
      <c r="F97" s="1110">
        <f>SUM(K97,M97,O97,Q97,S97)</f>
        <v>42</v>
      </c>
      <c r="G97" s="1022">
        <v>69000</v>
      </c>
      <c r="H97" s="1080" t="s">
        <v>151</v>
      </c>
      <c r="I97" s="1111" t="s">
        <v>17</v>
      </c>
      <c r="J97" s="159">
        <f>MMULT(F97,G97)</f>
        <v>2898000</v>
      </c>
      <c r="K97" s="309"/>
      <c r="L97" s="650"/>
      <c r="M97" s="160"/>
      <c r="N97" s="161"/>
      <c r="O97" s="162"/>
      <c r="P97" s="163"/>
      <c r="Q97" s="164"/>
      <c r="R97" s="637">
        <v>35</v>
      </c>
      <c r="S97" s="638">
        <f>MMULT(R97,1.2)</f>
        <v>42</v>
      </c>
      <c r="T97" s="359"/>
      <c r="U97" s="212"/>
    </row>
    <row r="98" spans="1:21" s="20" customFormat="1" ht="18" customHeight="1">
      <c r="A98" s="1275"/>
      <c r="B98" s="308" t="s">
        <v>24</v>
      </c>
      <c r="C98" s="1125" t="s">
        <v>41</v>
      </c>
      <c r="D98" s="1073" t="s">
        <v>69</v>
      </c>
      <c r="E98" s="1126">
        <f t="shared" ref="E98:E104" si="11">SUM(R98,P98,N98,L98)</f>
        <v>31</v>
      </c>
      <c r="F98" s="1127">
        <f>SUM(K98,M98,O98,Q98,S98)</f>
        <v>40.92</v>
      </c>
      <c r="G98" s="286">
        <v>79000</v>
      </c>
      <c r="H98" s="1128" t="s">
        <v>127</v>
      </c>
      <c r="I98" s="1077" t="s">
        <v>17</v>
      </c>
      <c r="J98" s="141">
        <f t="shared" si="9"/>
        <v>3232680</v>
      </c>
      <c r="K98" s="150"/>
      <c r="L98" s="651"/>
      <c r="M98" s="143"/>
      <c r="N98" s="144"/>
      <c r="O98" s="145"/>
      <c r="P98" s="146"/>
      <c r="Q98" s="147"/>
      <c r="R98" s="484">
        <v>31</v>
      </c>
      <c r="S98" s="172">
        <f>MMULT(R98,1.32)</f>
        <v>40.92</v>
      </c>
      <c r="T98" s="485"/>
      <c r="U98" s="213"/>
    </row>
    <row r="99" spans="1:21" s="151" customFormat="1" ht="18" customHeight="1" thickBot="1">
      <c r="A99" s="1276"/>
      <c r="B99" s="531" t="s">
        <v>22</v>
      </c>
      <c r="C99" s="1129" t="s">
        <v>18</v>
      </c>
      <c r="D99" s="1097"/>
      <c r="E99" s="1130">
        <f t="shared" si="11"/>
        <v>12</v>
      </c>
      <c r="F99" s="1131">
        <f>SUM(K99,M99,O99,Q99,S99)</f>
        <v>10.44</v>
      </c>
      <c r="G99" s="910">
        <v>69000</v>
      </c>
      <c r="H99" s="1132" t="s">
        <v>152</v>
      </c>
      <c r="I99" s="1101" t="s">
        <v>17</v>
      </c>
      <c r="J99" s="215">
        <f t="shared" si="9"/>
        <v>720360</v>
      </c>
      <c r="K99" s="703"/>
      <c r="L99" s="704"/>
      <c r="M99" s="705"/>
      <c r="N99" s="216"/>
      <c r="O99" s="217"/>
      <c r="P99" s="706"/>
      <c r="Q99" s="532"/>
      <c r="R99" s="707">
        <v>12</v>
      </c>
      <c r="S99" s="257">
        <f>MMULT(R99,0.87)</f>
        <v>10.44</v>
      </c>
      <c r="T99" s="486"/>
      <c r="U99" s="708"/>
    </row>
    <row r="100" spans="1:21" s="151" customFormat="1" ht="18" customHeight="1" thickBot="1">
      <c r="A100" s="1272">
        <v>426</v>
      </c>
      <c r="B100" s="953" t="s">
        <v>214</v>
      </c>
      <c r="C100" s="1195" t="s">
        <v>42</v>
      </c>
      <c r="D100" s="1196" t="s">
        <v>38</v>
      </c>
      <c r="E100" s="1197"/>
      <c r="F100" s="1198">
        <v>25</v>
      </c>
      <c r="G100" s="1187">
        <v>135000</v>
      </c>
      <c r="H100" s="1199"/>
      <c r="I100" s="1200" t="s">
        <v>17</v>
      </c>
      <c r="J100" s="44"/>
      <c r="K100" s="1191"/>
      <c r="L100" s="964"/>
      <c r="M100" s="1192"/>
      <c r="N100" s="723"/>
      <c r="O100" s="724"/>
      <c r="P100" s="967"/>
      <c r="Q100" s="1193"/>
      <c r="R100" s="1194"/>
      <c r="S100" s="728"/>
      <c r="T100" s="970"/>
      <c r="U100" s="183"/>
    </row>
    <row r="101" spans="1:21" s="20" customFormat="1" ht="18" customHeight="1">
      <c r="A101" s="1272"/>
      <c r="B101" s="192" t="s">
        <v>49</v>
      </c>
      <c r="C101" s="542" t="s">
        <v>42</v>
      </c>
      <c r="D101" s="988" t="s">
        <v>38</v>
      </c>
      <c r="E101" s="197">
        <f t="shared" si="11"/>
        <v>1</v>
      </c>
      <c r="F101" s="198">
        <f t="shared" ref="F101:F111" si="12">SUM(K101,M101,O101,Q101,S101)</f>
        <v>1.38</v>
      </c>
      <c r="G101" s="284">
        <v>110000</v>
      </c>
      <c r="H101" s="473" t="s">
        <v>50</v>
      </c>
      <c r="I101" s="455" t="s">
        <v>17</v>
      </c>
      <c r="J101" s="224">
        <f t="shared" ref="J101:J145" si="13">MMULT(F101,G101)</f>
        <v>151800</v>
      </c>
      <c r="K101" s="95"/>
      <c r="L101" s="652"/>
      <c r="M101" s="207"/>
      <c r="N101" s="208"/>
      <c r="O101" s="209"/>
      <c r="P101" s="210"/>
      <c r="Q101" s="211"/>
      <c r="R101" s="346">
        <v>1</v>
      </c>
      <c r="S101" s="261">
        <v>1.38</v>
      </c>
      <c r="T101" s="347"/>
      <c r="U101" s="179"/>
    </row>
    <row r="102" spans="1:21" s="151" customFormat="1" ht="18" customHeight="1">
      <c r="A102" s="1272"/>
      <c r="B102" s="192" t="s">
        <v>20</v>
      </c>
      <c r="C102" s="542" t="s">
        <v>203</v>
      </c>
      <c r="D102" s="988" t="s">
        <v>38</v>
      </c>
      <c r="E102" s="197">
        <v>2</v>
      </c>
      <c r="F102" s="198">
        <v>2.94</v>
      </c>
      <c r="G102" s="284">
        <v>85000</v>
      </c>
      <c r="H102" s="473" t="s">
        <v>219</v>
      </c>
      <c r="I102" s="455" t="s">
        <v>17</v>
      </c>
      <c r="J102" s="159">
        <f>MMULT(F102,G102)</f>
        <v>249900</v>
      </c>
      <c r="K102" s="166"/>
      <c r="L102" s="649"/>
      <c r="M102" s="160"/>
      <c r="N102" s="161"/>
      <c r="O102" s="162"/>
      <c r="P102" s="163"/>
      <c r="Q102" s="164"/>
      <c r="R102" s="229">
        <v>6</v>
      </c>
      <c r="S102" s="173">
        <f>MMULT(R102,1.47)</f>
        <v>8.82</v>
      </c>
      <c r="T102" s="165"/>
      <c r="U102" s="212"/>
    </row>
    <row r="103" spans="1:21" s="151" customFormat="1" ht="18" customHeight="1">
      <c r="A103" s="1272"/>
      <c r="B103" s="193" t="s">
        <v>23</v>
      </c>
      <c r="C103" s="543" t="s">
        <v>42</v>
      </c>
      <c r="D103" s="989"/>
      <c r="E103" s="138">
        <f t="shared" si="11"/>
        <v>1</v>
      </c>
      <c r="F103" s="112">
        <f t="shared" si="12"/>
        <v>1.24</v>
      </c>
      <c r="G103" s="521">
        <v>125000</v>
      </c>
      <c r="H103" s="474">
        <v>12.11</v>
      </c>
      <c r="I103" s="451" t="s">
        <v>17</v>
      </c>
      <c r="J103" s="141">
        <f t="shared" si="13"/>
        <v>155000</v>
      </c>
      <c r="K103" s="142"/>
      <c r="L103" s="653"/>
      <c r="M103" s="143"/>
      <c r="N103" s="144"/>
      <c r="O103" s="145"/>
      <c r="P103" s="146"/>
      <c r="Q103" s="147"/>
      <c r="R103" s="148">
        <v>1</v>
      </c>
      <c r="S103" s="149">
        <v>1.24</v>
      </c>
      <c r="T103" s="165"/>
      <c r="U103" s="213"/>
    </row>
    <row r="104" spans="1:21" s="151" customFormat="1" ht="18" customHeight="1">
      <c r="A104" s="1272"/>
      <c r="B104" s="193" t="s">
        <v>23</v>
      </c>
      <c r="C104" s="543" t="s">
        <v>203</v>
      </c>
      <c r="D104" s="989" t="s">
        <v>38</v>
      </c>
      <c r="E104" s="138">
        <f t="shared" si="11"/>
        <v>6</v>
      </c>
      <c r="F104" s="112">
        <f t="shared" si="12"/>
        <v>7.1999999999999993</v>
      </c>
      <c r="G104" s="521">
        <v>85000</v>
      </c>
      <c r="H104" s="474" t="s">
        <v>161</v>
      </c>
      <c r="I104" s="451" t="s">
        <v>17</v>
      </c>
      <c r="J104" s="141">
        <f t="shared" si="13"/>
        <v>611999.99999999988</v>
      </c>
      <c r="K104" s="142"/>
      <c r="L104" s="653"/>
      <c r="M104" s="143"/>
      <c r="N104" s="144"/>
      <c r="O104" s="145"/>
      <c r="P104" s="146"/>
      <c r="Q104" s="147"/>
      <c r="R104" s="148">
        <v>6</v>
      </c>
      <c r="S104" s="149">
        <f>MMULT(R104,1.2)</f>
        <v>7.1999999999999993</v>
      </c>
      <c r="T104" s="165"/>
      <c r="U104" s="213"/>
    </row>
    <row r="105" spans="1:21" s="151" customFormat="1" ht="18" customHeight="1">
      <c r="A105" s="1272"/>
      <c r="B105" s="193" t="s">
        <v>23</v>
      </c>
      <c r="C105" s="543" t="s">
        <v>203</v>
      </c>
      <c r="D105" s="989" t="s">
        <v>46</v>
      </c>
      <c r="E105" s="138">
        <f>SUM(R105,P105,N105,L105)</f>
        <v>2</v>
      </c>
      <c r="F105" s="112">
        <f>SUM(K105,M105,O105,Q105,S105)</f>
        <v>1.85</v>
      </c>
      <c r="G105" s="521">
        <v>79000</v>
      </c>
      <c r="H105" s="474" t="s">
        <v>62</v>
      </c>
      <c r="I105" s="451" t="s">
        <v>17</v>
      </c>
      <c r="J105" s="141">
        <f>MMULT(F105,G105)</f>
        <v>146150</v>
      </c>
      <c r="K105" s="142"/>
      <c r="L105" s="653"/>
      <c r="M105" s="143"/>
      <c r="N105" s="144"/>
      <c r="O105" s="145"/>
      <c r="P105" s="146"/>
      <c r="Q105" s="147"/>
      <c r="R105" s="148">
        <v>2</v>
      </c>
      <c r="S105" s="149">
        <v>1.85</v>
      </c>
      <c r="T105" s="165"/>
      <c r="U105" s="213"/>
    </row>
    <row r="106" spans="1:21" s="20" customFormat="1" ht="18" customHeight="1">
      <c r="A106" s="1272"/>
      <c r="B106" s="193" t="s">
        <v>23</v>
      </c>
      <c r="C106" s="543" t="s">
        <v>203</v>
      </c>
      <c r="D106" s="989" t="s">
        <v>38</v>
      </c>
      <c r="E106" s="138"/>
      <c r="F106" s="112">
        <v>60</v>
      </c>
      <c r="G106" s="521">
        <v>79000</v>
      </c>
      <c r="H106" s="474"/>
      <c r="I106" s="451" t="s">
        <v>17</v>
      </c>
      <c r="J106" s="141">
        <f t="shared" si="13"/>
        <v>4740000</v>
      </c>
      <c r="K106" s="142"/>
      <c r="L106" s="653"/>
      <c r="M106" s="143"/>
      <c r="N106" s="144"/>
      <c r="O106" s="145"/>
      <c r="P106" s="146"/>
      <c r="Q106" s="147"/>
      <c r="R106" s="148"/>
      <c r="S106" s="149">
        <v>15.141</v>
      </c>
      <c r="T106" s="165"/>
      <c r="U106" s="213"/>
    </row>
    <row r="107" spans="1:21" s="151" customFormat="1" ht="18" customHeight="1">
      <c r="A107" s="1272"/>
      <c r="B107" s="193" t="s">
        <v>23</v>
      </c>
      <c r="C107" s="543" t="s">
        <v>203</v>
      </c>
      <c r="D107" s="989" t="s">
        <v>38</v>
      </c>
      <c r="E107" s="138"/>
      <c r="F107" s="112">
        <f>SUM(K107,M107,O107,Q107,S107)</f>
        <v>0.95</v>
      </c>
      <c r="G107" s="521">
        <v>84000</v>
      </c>
      <c r="H107" s="474"/>
      <c r="I107" s="451" t="s">
        <v>17</v>
      </c>
      <c r="J107" s="141">
        <f>MMULT(F107,G107)</f>
        <v>79800</v>
      </c>
      <c r="K107" s="142"/>
      <c r="L107" s="653"/>
      <c r="M107" s="143"/>
      <c r="N107" s="144"/>
      <c r="O107" s="145"/>
      <c r="P107" s="146"/>
      <c r="Q107" s="147"/>
      <c r="R107" s="148"/>
      <c r="S107" s="149">
        <v>0.95</v>
      </c>
      <c r="T107" s="165"/>
      <c r="U107" s="213"/>
    </row>
    <row r="108" spans="1:21" s="151" customFormat="1" ht="18" customHeight="1">
      <c r="A108" s="1272"/>
      <c r="B108" s="193" t="s">
        <v>51</v>
      </c>
      <c r="C108" s="543" t="s">
        <v>203</v>
      </c>
      <c r="D108" s="989" t="s">
        <v>39</v>
      </c>
      <c r="E108" s="138">
        <f t="shared" ref="E108:E114" si="14">SUM(R108,P108,N108,L108,U108)</f>
        <v>3</v>
      </c>
      <c r="F108" s="112">
        <f>SUM(K108,M108,O108,Q108,S108)</f>
        <v>3.3000000000000003</v>
      </c>
      <c r="G108" s="521">
        <v>84000</v>
      </c>
      <c r="H108" s="474" t="s">
        <v>159</v>
      </c>
      <c r="I108" s="451" t="s">
        <v>17</v>
      </c>
      <c r="J108" s="141">
        <f>MMULT(F108,G108)</f>
        <v>277200</v>
      </c>
      <c r="K108" s="142"/>
      <c r="L108" s="653" t="s">
        <v>73</v>
      </c>
      <c r="M108" s="143"/>
      <c r="N108" s="144"/>
      <c r="O108" s="145"/>
      <c r="P108" s="146"/>
      <c r="Q108" s="147"/>
      <c r="R108" s="148">
        <v>3</v>
      </c>
      <c r="S108" s="149">
        <f>MMULT(R108,1.1)</f>
        <v>3.3000000000000003</v>
      </c>
      <c r="T108" s="165"/>
      <c r="U108" s="213"/>
    </row>
    <row r="109" spans="1:21" s="151" customFormat="1" ht="18" customHeight="1">
      <c r="A109" s="1272"/>
      <c r="B109" s="194" t="s">
        <v>24</v>
      </c>
      <c r="C109" s="543" t="s">
        <v>60</v>
      </c>
      <c r="D109" s="989" t="s">
        <v>36</v>
      </c>
      <c r="E109" s="138">
        <f t="shared" si="14"/>
        <v>1</v>
      </c>
      <c r="F109" s="112">
        <f t="shared" si="12"/>
        <v>0.8</v>
      </c>
      <c r="G109" s="521">
        <v>65000</v>
      </c>
      <c r="H109" s="474">
        <v>8.9700000000000006</v>
      </c>
      <c r="I109" s="451" t="s">
        <v>17</v>
      </c>
      <c r="J109" s="141">
        <f t="shared" si="13"/>
        <v>52000</v>
      </c>
      <c r="K109" s="150"/>
      <c r="L109" s="653"/>
      <c r="M109" s="143"/>
      <c r="N109" s="144"/>
      <c r="O109" s="145"/>
      <c r="P109" s="146"/>
      <c r="Q109" s="147"/>
      <c r="R109" s="185">
        <v>1</v>
      </c>
      <c r="S109" s="172">
        <v>0.8</v>
      </c>
      <c r="T109" s="165"/>
      <c r="U109" s="213" t="s">
        <v>125</v>
      </c>
    </row>
    <row r="110" spans="1:21" s="151" customFormat="1" ht="18" customHeight="1">
      <c r="A110" s="1272"/>
      <c r="B110" s="194" t="s">
        <v>24</v>
      </c>
      <c r="C110" s="543" t="s">
        <v>203</v>
      </c>
      <c r="D110" s="990" t="s">
        <v>53</v>
      </c>
      <c r="E110" s="138">
        <f t="shared" si="14"/>
        <v>16</v>
      </c>
      <c r="F110" s="112">
        <f t="shared" si="12"/>
        <v>14.24</v>
      </c>
      <c r="G110" s="521">
        <v>86000</v>
      </c>
      <c r="H110" s="474" t="s">
        <v>162</v>
      </c>
      <c r="I110" s="451" t="s">
        <v>17</v>
      </c>
      <c r="J110" s="141">
        <f t="shared" si="13"/>
        <v>1224640</v>
      </c>
      <c r="K110" s="150"/>
      <c r="L110" s="653"/>
      <c r="M110" s="143"/>
      <c r="N110" s="144"/>
      <c r="O110" s="145"/>
      <c r="P110" s="146"/>
      <c r="Q110" s="147"/>
      <c r="R110" s="148">
        <v>16</v>
      </c>
      <c r="S110" s="149">
        <f>MMULT(R110,0.89)</f>
        <v>14.24</v>
      </c>
      <c r="T110" s="165"/>
      <c r="U110" s="213"/>
    </row>
    <row r="111" spans="1:21" s="151" customFormat="1" ht="18" customHeight="1">
      <c r="A111" s="1272"/>
      <c r="B111" s="194" t="s">
        <v>24</v>
      </c>
      <c r="C111" s="543" t="s">
        <v>203</v>
      </c>
      <c r="D111" s="989" t="s">
        <v>39</v>
      </c>
      <c r="E111" s="138">
        <f t="shared" si="14"/>
        <v>8</v>
      </c>
      <c r="F111" s="112">
        <f t="shared" si="12"/>
        <v>7.12</v>
      </c>
      <c r="G111" s="521">
        <v>84000</v>
      </c>
      <c r="H111" s="474" t="s">
        <v>158</v>
      </c>
      <c r="I111" s="451" t="s">
        <v>17</v>
      </c>
      <c r="J111" s="141">
        <f t="shared" si="13"/>
        <v>598080</v>
      </c>
      <c r="K111" s="218"/>
      <c r="L111" s="653"/>
      <c r="M111" s="143"/>
      <c r="N111" s="144"/>
      <c r="O111" s="145"/>
      <c r="P111" s="146"/>
      <c r="Q111" s="147"/>
      <c r="R111" s="148">
        <v>8</v>
      </c>
      <c r="S111" s="149">
        <f>MMULT(R111,0.89)</f>
        <v>7.12</v>
      </c>
      <c r="T111" s="165"/>
      <c r="U111" s="213"/>
    </row>
    <row r="112" spans="1:21" s="151" customFormat="1" ht="18" customHeight="1">
      <c r="A112" s="1272"/>
      <c r="B112" s="194" t="s">
        <v>24</v>
      </c>
      <c r="C112" s="543" t="s">
        <v>203</v>
      </c>
      <c r="D112" s="989" t="s">
        <v>38</v>
      </c>
      <c r="E112" s="138">
        <f t="shared" si="14"/>
        <v>6</v>
      </c>
      <c r="F112" s="112">
        <f>SUM(K112,M112,O112,Q112,S112)</f>
        <v>5.6999999999999993</v>
      </c>
      <c r="G112" s="521">
        <v>82000</v>
      </c>
      <c r="H112" s="474" t="s">
        <v>163</v>
      </c>
      <c r="I112" s="451" t="s">
        <v>17</v>
      </c>
      <c r="J112" s="141">
        <f>MMULT(F112,G112)</f>
        <v>467399.99999999994</v>
      </c>
      <c r="K112" s="218"/>
      <c r="L112" s="653"/>
      <c r="M112" s="143"/>
      <c r="N112" s="144"/>
      <c r="O112" s="145"/>
      <c r="P112" s="146"/>
      <c r="Q112" s="147"/>
      <c r="R112" s="148">
        <v>6</v>
      </c>
      <c r="S112" s="149">
        <f>MMULT(R112,0.95)</f>
        <v>5.6999999999999993</v>
      </c>
      <c r="T112" s="165"/>
      <c r="U112" s="213"/>
    </row>
    <row r="113" spans="1:21" s="151" customFormat="1" ht="18" customHeight="1">
      <c r="A113" s="1272"/>
      <c r="B113" s="194" t="s">
        <v>24</v>
      </c>
      <c r="C113" s="543" t="s">
        <v>203</v>
      </c>
      <c r="D113" s="989" t="s">
        <v>36</v>
      </c>
      <c r="E113" s="138">
        <f t="shared" si="14"/>
        <v>6</v>
      </c>
      <c r="F113" s="112">
        <f>SUM(K113,M113,O113,Q113,S113)</f>
        <v>5.82</v>
      </c>
      <c r="G113" s="521">
        <v>84000</v>
      </c>
      <c r="H113" s="474" t="s">
        <v>160</v>
      </c>
      <c r="I113" s="451" t="s">
        <v>17</v>
      </c>
      <c r="J113" s="141">
        <f>MMULT(F113,G113)</f>
        <v>488880</v>
      </c>
      <c r="K113" s="218"/>
      <c r="L113" s="653" t="s">
        <v>73</v>
      </c>
      <c r="M113" s="143"/>
      <c r="N113" s="144"/>
      <c r="O113" s="145"/>
      <c r="P113" s="146"/>
      <c r="Q113" s="147"/>
      <c r="R113" s="148">
        <v>6</v>
      </c>
      <c r="S113" s="149">
        <f>MMULT(R113,0.97)</f>
        <v>5.82</v>
      </c>
      <c r="T113" s="165"/>
      <c r="U113" s="213"/>
    </row>
    <row r="114" spans="1:21" s="20" customFormat="1" ht="18" customHeight="1">
      <c r="A114" s="1272"/>
      <c r="B114" s="190">
        <v>8</v>
      </c>
      <c r="C114" s="539" t="s">
        <v>18</v>
      </c>
      <c r="D114" s="982" t="s">
        <v>36</v>
      </c>
      <c r="E114" s="171">
        <f t="shared" si="14"/>
        <v>2</v>
      </c>
      <c r="F114" s="80">
        <f t="shared" ref="F114:F134" si="15">SUM(K114,M114,O114,Q114,S114)</f>
        <v>1.77</v>
      </c>
      <c r="G114" s="201">
        <v>57000</v>
      </c>
      <c r="H114" s="468" t="s">
        <v>82</v>
      </c>
      <c r="I114" s="452" t="s">
        <v>17</v>
      </c>
      <c r="J114" s="153">
        <f t="shared" si="13"/>
        <v>100890</v>
      </c>
      <c r="K114" s="93"/>
      <c r="L114" s="654"/>
      <c r="M114" s="154"/>
      <c r="N114" s="156"/>
      <c r="O114" s="157"/>
      <c r="P114" s="38"/>
      <c r="Q114" s="39"/>
      <c r="R114" s="40">
        <v>2</v>
      </c>
      <c r="S114" s="29">
        <v>1.77</v>
      </c>
      <c r="T114" s="69"/>
      <c r="U114" s="109"/>
    </row>
    <row r="115" spans="1:21" s="151" customFormat="1" ht="18" customHeight="1">
      <c r="A115" s="1272"/>
      <c r="B115" s="193" t="s">
        <v>21</v>
      </c>
      <c r="C115" s="543" t="s">
        <v>203</v>
      </c>
      <c r="D115" s="989" t="s">
        <v>38</v>
      </c>
      <c r="E115" s="138">
        <f t="shared" ref="E115:E122" si="16">SUM(R115,P115,N115,L115)</f>
        <v>2</v>
      </c>
      <c r="F115" s="112">
        <f t="shared" si="15"/>
        <v>1.6719999999999999</v>
      </c>
      <c r="G115" s="521">
        <v>84000</v>
      </c>
      <c r="H115" s="474"/>
      <c r="I115" s="451" t="s">
        <v>17</v>
      </c>
      <c r="J115" s="141">
        <f>MMULT(F115,G115)</f>
        <v>140448</v>
      </c>
      <c r="K115" s="142"/>
      <c r="L115" s="653"/>
      <c r="M115" s="143"/>
      <c r="N115" s="144"/>
      <c r="O115" s="145"/>
      <c r="P115" s="146"/>
      <c r="Q115" s="147"/>
      <c r="R115" s="148">
        <v>2</v>
      </c>
      <c r="S115" s="149">
        <v>1.6719999999999999</v>
      </c>
      <c r="T115" s="729"/>
      <c r="U115" s="183"/>
    </row>
    <row r="116" spans="1:21" s="20" customFormat="1" ht="18" customHeight="1" thickBot="1">
      <c r="A116" s="1273"/>
      <c r="B116" s="195" t="s">
        <v>21</v>
      </c>
      <c r="C116" s="541" t="s">
        <v>18</v>
      </c>
      <c r="D116" s="977" t="s">
        <v>36</v>
      </c>
      <c r="E116" s="199">
        <f t="shared" si="16"/>
        <v>4</v>
      </c>
      <c r="F116" s="228">
        <f t="shared" si="15"/>
        <v>3.24</v>
      </c>
      <c r="G116" s="1189">
        <v>57000</v>
      </c>
      <c r="H116" s="475" t="s">
        <v>157</v>
      </c>
      <c r="I116" s="453" t="s">
        <v>17</v>
      </c>
      <c r="J116" s="44">
        <f t="shared" si="13"/>
        <v>184680</v>
      </c>
      <c r="K116" s="344"/>
      <c r="L116" s="664"/>
      <c r="M116" s="684"/>
      <c r="N116" s="723"/>
      <c r="O116" s="724"/>
      <c r="P116" s="725"/>
      <c r="Q116" s="726"/>
      <c r="R116" s="727">
        <v>4</v>
      </c>
      <c r="S116" s="728">
        <v>3.24</v>
      </c>
      <c r="T116" s="729"/>
      <c r="U116" s="183"/>
    </row>
    <row r="117" spans="1:21" s="151" customFormat="1" ht="18" customHeight="1">
      <c r="A117" s="1277">
        <v>377</v>
      </c>
      <c r="B117" s="953" t="s">
        <v>23</v>
      </c>
      <c r="C117" s="1133" t="s">
        <v>203</v>
      </c>
      <c r="D117" s="1071" t="s">
        <v>38</v>
      </c>
      <c r="E117" s="1134">
        <f t="shared" si="16"/>
        <v>1</v>
      </c>
      <c r="F117" s="1104">
        <f>SUM(S117,Q117,O117,M117,K117)</f>
        <v>1.054</v>
      </c>
      <c r="G117" s="1188">
        <v>79000</v>
      </c>
      <c r="H117" s="1135" t="s">
        <v>68</v>
      </c>
      <c r="I117" s="1136" t="s">
        <v>17</v>
      </c>
      <c r="J117" s="224">
        <f t="shared" si="13"/>
        <v>83266</v>
      </c>
      <c r="K117" s="263"/>
      <c r="L117" s="655"/>
      <c r="M117" s="258"/>
      <c r="N117" s="208"/>
      <c r="O117" s="209"/>
      <c r="P117" s="259"/>
      <c r="Q117" s="211"/>
      <c r="R117" s="260">
        <v>1</v>
      </c>
      <c r="S117" s="261">
        <v>1.054</v>
      </c>
      <c r="T117" s="262"/>
      <c r="U117" s="179"/>
    </row>
    <row r="118" spans="1:21" s="151" customFormat="1" ht="18" customHeight="1" thickBot="1">
      <c r="A118" s="1278"/>
      <c r="B118" s="768" t="s">
        <v>23</v>
      </c>
      <c r="C118" s="1125" t="s">
        <v>26</v>
      </c>
      <c r="D118" s="1073" t="s">
        <v>36</v>
      </c>
      <c r="E118" s="1126">
        <f t="shared" si="16"/>
        <v>1</v>
      </c>
      <c r="F118" s="1127">
        <f>SUM(K118,M118,O118,Q118,S118)</f>
        <v>0.7</v>
      </c>
      <c r="G118" s="521">
        <v>50000</v>
      </c>
      <c r="H118" s="1076">
        <v>10.68</v>
      </c>
      <c r="I118" s="1137" t="s">
        <v>17</v>
      </c>
      <c r="J118" s="730">
        <f>MMULT(F118,G118)</f>
        <v>35000</v>
      </c>
      <c r="K118" s="731"/>
      <c r="L118" s="732"/>
      <c r="M118" s="733"/>
      <c r="N118" s="734"/>
      <c r="O118" s="735"/>
      <c r="P118" s="736"/>
      <c r="Q118" s="737"/>
      <c r="R118" s="738">
        <v>1</v>
      </c>
      <c r="S118" s="739">
        <v>0.7</v>
      </c>
      <c r="T118" s="740"/>
      <c r="U118" s="741"/>
    </row>
    <row r="119" spans="1:21" s="151" customFormat="1" ht="18" customHeight="1" thickBot="1">
      <c r="A119" s="1279"/>
      <c r="B119" s="564" t="s">
        <v>24</v>
      </c>
      <c r="C119" s="1129" t="s">
        <v>203</v>
      </c>
      <c r="D119" s="1097" t="s">
        <v>38</v>
      </c>
      <c r="E119" s="1130">
        <v>11</v>
      </c>
      <c r="F119" s="1131">
        <v>10</v>
      </c>
      <c r="G119" s="1008">
        <v>79000</v>
      </c>
      <c r="H119" s="1100"/>
      <c r="I119" s="1138" t="s">
        <v>17</v>
      </c>
      <c r="J119" s="44"/>
      <c r="K119" s="948"/>
      <c r="L119" s="664"/>
      <c r="M119" s="949"/>
      <c r="N119" s="723"/>
      <c r="O119" s="724"/>
      <c r="P119" s="921"/>
      <c r="Q119" s="849"/>
      <c r="R119" s="950"/>
      <c r="S119" s="728"/>
      <c r="T119" s="951"/>
      <c r="U119" s="253"/>
    </row>
    <row r="120" spans="1:21" s="20" customFormat="1" ht="18" customHeight="1">
      <c r="A120" s="1284">
        <v>325</v>
      </c>
      <c r="B120" s="1234">
        <v>22</v>
      </c>
      <c r="C120" s="544" t="s">
        <v>42</v>
      </c>
      <c r="D120" s="981" t="s">
        <v>38</v>
      </c>
      <c r="E120" s="1235">
        <f t="shared" si="16"/>
        <v>1</v>
      </c>
      <c r="F120" s="1236">
        <f t="shared" si="15"/>
        <v>1.1120000000000001</v>
      </c>
      <c r="G120" s="1188">
        <v>115000</v>
      </c>
      <c r="H120" s="1237" t="s">
        <v>31</v>
      </c>
      <c r="I120" s="952" t="s">
        <v>17</v>
      </c>
      <c r="J120" s="159">
        <f t="shared" si="13"/>
        <v>127880.00000000001</v>
      </c>
      <c r="K120" s="166"/>
      <c r="L120" s="643"/>
      <c r="M120" s="129"/>
      <c r="N120" s="130"/>
      <c r="O120" s="131"/>
      <c r="P120" s="128"/>
      <c r="Q120" s="132"/>
      <c r="R120" s="529">
        <v>1</v>
      </c>
      <c r="S120" s="530">
        <v>1.1120000000000001</v>
      </c>
      <c r="T120" s="127"/>
      <c r="U120" s="212"/>
    </row>
    <row r="121" spans="1:21" s="20" customFormat="1" ht="18" customHeight="1">
      <c r="A121" s="1285"/>
      <c r="B121" s="1230">
        <v>20</v>
      </c>
      <c r="C121" s="539" t="s">
        <v>42</v>
      </c>
      <c r="D121" s="983" t="s">
        <v>38</v>
      </c>
      <c r="E121" s="171">
        <f t="shared" si="16"/>
        <v>2</v>
      </c>
      <c r="F121" s="168">
        <f t="shared" si="15"/>
        <v>1.976</v>
      </c>
      <c r="G121" s="201">
        <v>115000</v>
      </c>
      <c r="H121" s="468" t="s">
        <v>92</v>
      </c>
      <c r="I121" s="1238" t="s">
        <v>17</v>
      </c>
      <c r="J121" s="153">
        <f t="shared" si="13"/>
        <v>227240</v>
      </c>
      <c r="K121" s="421"/>
      <c r="L121" s="657"/>
      <c r="M121" s="43"/>
      <c r="N121" s="26"/>
      <c r="O121" s="27"/>
      <c r="P121" s="37"/>
      <c r="Q121" s="32"/>
      <c r="R121" s="174">
        <v>2</v>
      </c>
      <c r="S121" s="175">
        <v>1.976</v>
      </c>
      <c r="T121" s="117"/>
      <c r="U121" s="109"/>
    </row>
    <row r="122" spans="1:21" s="20" customFormat="1" ht="18" customHeight="1">
      <c r="A122" s="1285"/>
      <c r="B122" s="1230">
        <v>20</v>
      </c>
      <c r="C122" s="539" t="s">
        <v>42</v>
      </c>
      <c r="D122" s="983" t="s">
        <v>40</v>
      </c>
      <c r="E122" s="171">
        <f t="shared" si="16"/>
        <v>1</v>
      </c>
      <c r="F122" s="168">
        <f t="shared" si="15"/>
        <v>1.5</v>
      </c>
      <c r="G122" s="201">
        <v>115000</v>
      </c>
      <c r="H122" s="468">
        <v>10.61</v>
      </c>
      <c r="I122" s="1238" t="s">
        <v>17</v>
      </c>
      <c r="J122" s="153">
        <f t="shared" si="13"/>
        <v>172500</v>
      </c>
      <c r="K122" s="421"/>
      <c r="L122" s="657"/>
      <c r="M122" s="43"/>
      <c r="N122" s="26"/>
      <c r="O122" s="27"/>
      <c r="P122" s="37"/>
      <c r="Q122" s="32"/>
      <c r="R122" s="174">
        <v>1</v>
      </c>
      <c r="S122" s="175">
        <v>1.5</v>
      </c>
      <c r="T122" s="117"/>
      <c r="U122" s="109"/>
    </row>
    <row r="123" spans="1:21" s="151" customFormat="1" ht="18" customHeight="1">
      <c r="A123" s="1285"/>
      <c r="B123" s="1230" t="s">
        <v>49</v>
      </c>
      <c r="C123" s="539" t="s">
        <v>42</v>
      </c>
      <c r="D123" s="983" t="s">
        <v>39</v>
      </c>
      <c r="E123" s="171"/>
      <c r="F123" s="168">
        <f>SUM(K123,M123,O123,Q123,S123)</f>
        <v>10</v>
      </c>
      <c r="G123" s="201">
        <v>115000</v>
      </c>
      <c r="H123" s="468"/>
      <c r="I123" s="1238" t="s">
        <v>17</v>
      </c>
      <c r="J123" s="153">
        <f>MMULT(F123,G123)</f>
        <v>1150000</v>
      </c>
      <c r="K123" s="421"/>
      <c r="L123" s="657"/>
      <c r="M123" s="43"/>
      <c r="N123" s="152"/>
      <c r="O123" s="27"/>
      <c r="P123" s="158"/>
      <c r="Q123" s="155"/>
      <c r="R123" s="826"/>
      <c r="S123" s="827">
        <v>10</v>
      </c>
      <c r="T123" s="182"/>
      <c r="U123" s="183"/>
    </row>
    <row r="124" spans="1:21" s="151" customFormat="1" ht="18" customHeight="1">
      <c r="A124" s="1285"/>
      <c r="B124" s="1230" t="s">
        <v>20</v>
      </c>
      <c r="C124" s="539" t="s">
        <v>42</v>
      </c>
      <c r="D124" s="983" t="s">
        <v>194</v>
      </c>
      <c r="E124" s="171"/>
      <c r="F124" s="168">
        <v>40</v>
      </c>
      <c r="G124" s="201">
        <v>135000</v>
      </c>
      <c r="H124" s="468"/>
      <c r="I124" s="1238" t="s">
        <v>17</v>
      </c>
      <c r="J124" s="153"/>
      <c r="K124" s="421"/>
      <c r="L124" s="657"/>
      <c r="M124" s="43"/>
      <c r="N124" s="152"/>
      <c r="O124" s="27"/>
      <c r="P124" s="158"/>
      <c r="Q124" s="155"/>
      <c r="R124" s="826"/>
      <c r="S124" s="827"/>
      <c r="T124" s="182"/>
      <c r="U124" s="183"/>
    </row>
    <row r="125" spans="1:21" s="151" customFormat="1" ht="18" customHeight="1">
      <c r="A125" s="1285"/>
      <c r="B125" s="1230">
        <v>12</v>
      </c>
      <c r="C125" s="539" t="s">
        <v>42</v>
      </c>
      <c r="D125" s="983" t="s">
        <v>38</v>
      </c>
      <c r="E125" s="171">
        <f t="shared" ref="E125:E138" si="17">SUM(R125,P125,N125,L125)</f>
        <v>3</v>
      </c>
      <c r="F125" s="168">
        <f>SUM(K125,M125,O125,Q125,S125)</f>
        <v>0.64800000000000002</v>
      </c>
      <c r="G125" s="201">
        <v>70000</v>
      </c>
      <c r="H125" s="468" t="s">
        <v>79</v>
      </c>
      <c r="I125" s="1238" t="s">
        <v>17</v>
      </c>
      <c r="J125" s="153">
        <f>MMULT(F125,G125)</f>
        <v>45360</v>
      </c>
      <c r="K125" s="421"/>
      <c r="L125" s="657"/>
      <c r="M125" s="43"/>
      <c r="N125" s="152"/>
      <c r="O125" s="250"/>
      <c r="P125" s="249"/>
      <c r="Q125" s="42"/>
      <c r="R125" s="773">
        <v>3</v>
      </c>
      <c r="S125" s="774">
        <v>0.64800000000000002</v>
      </c>
      <c r="T125" s="180"/>
      <c r="U125" s="181"/>
    </row>
    <row r="126" spans="1:21" s="151" customFormat="1" ht="18" customHeight="1">
      <c r="A126" s="1285"/>
      <c r="B126" s="1230" t="s">
        <v>20</v>
      </c>
      <c r="C126" s="539" t="s">
        <v>42</v>
      </c>
      <c r="D126" s="983" t="s">
        <v>38</v>
      </c>
      <c r="E126" s="171">
        <f t="shared" si="17"/>
        <v>19</v>
      </c>
      <c r="F126" s="168">
        <f>SUM(K126,M126,O126,Q126,S126)</f>
        <v>15</v>
      </c>
      <c r="G126" s="201">
        <v>100000</v>
      </c>
      <c r="H126" s="468"/>
      <c r="I126" s="1238" t="s">
        <v>17</v>
      </c>
      <c r="J126" s="153">
        <f>MMULT(F126,G126)</f>
        <v>1500000</v>
      </c>
      <c r="K126" s="421"/>
      <c r="L126" s="657"/>
      <c r="M126" s="43"/>
      <c r="N126" s="152"/>
      <c r="O126" s="250"/>
      <c r="P126" s="249"/>
      <c r="Q126" s="42"/>
      <c r="R126" s="534">
        <v>19</v>
      </c>
      <c r="S126" s="219">
        <v>15</v>
      </c>
      <c r="T126" s="182"/>
      <c r="U126" s="183"/>
    </row>
    <row r="127" spans="1:21" s="20" customFormat="1" ht="18" customHeight="1">
      <c r="A127" s="1285"/>
      <c r="B127" s="1230">
        <v>12</v>
      </c>
      <c r="C127" s="539" t="s">
        <v>42</v>
      </c>
      <c r="D127" s="983" t="s">
        <v>44</v>
      </c>
      <c r="E127" s="171">
        <f t="shared" si="17"/>
        <v>15</v>
      </c>
      <c r="F127" s="168">
        <f t="shared" si="15"/>
        <v>15.75</v>
      </c>
      <c r="G127" s="201">
        <v>125000</v>
      </c>
      <c r="H127" s="468" t="s">
        <v>32</v>
      </c>
      <c r="I127" s="1238" t="s">
        <v>17</v>
      </c>
      <c r="J127" s="153">
        <f t="shared" si="13"/>
        <v>1968750</v>
      </c>
      <c r="K127" s="421"/>
      <c r="L127" s="657"/>
      <c r="M127" s="41"/>
      <c r="N127" s="36"/>
      <c r="O127" s="27"/>
      <c r="P127" s="35"/>
      <c r="Q127" s="42"/>
      <c r="R127" s="176">
        <v>15</v>
      </c>
      <c r="S127" s="177">
        <f>MMULT(R127,1.05)</f>
        <v>15.75</v>
      </c>
      <c r="T127" s="180"/>
      <c r="U127" s="181"/>
    </row>
    <row r="128" spans="1:21" s="151" customFormat="1" ht="18" customHeight="1">
      <c r="A128" s="1285"/>
      <c r="B128" s="1230" t="s">
        <v>20</v>
      </c>
      <c r="C128" s="539" t="s">
        <v>195</v>
      </c>
      <c r="D128" s="983" t="s">
        <v>56</v>
      </c>
      <c r="E128" s="171"/>
      <c r="F128" s="168">
        <v>40</v>
      </c>
      <c r="G128" s="201">
        <v>85000</v>
      </c>
      <c r="H128" s="468" t="s">
        <v>127</v>
      </c>
      <c r="I128" s="1238" t="s">
        <v>17</v>
      </c>
      <c r="J128" s="153"/>
      <c r="K128" s="421"/>
      <c r="L128" s="657"/>
      <c r="M128" s="41"/>
      <c r="N128" s="36"/>
      <c r="O128" s="27"/>
      <c r="P128" s="156"/>
      <c r="Q128" s="42"/>
      <c r="R128" s="918"/>
      <c r="S128" s="919"/>
      <c r="T128" s="127"/>
      <c r="U128" s="212"/>
    </row>
    <row r="129" spans="1:22" s="151" customFormat="1" ht="18" customHeight="1">
      <c r="A129" s="1285"/>
      <c r="B129" s="1230" t="s">
        <v>52</v>
      </c>
      <c r="C129" s="539" t="s">
        <v>42</v>
      </c>
      <c r="D129" s="983" t="s">
        <v>53</v>
      </c>
      <c r="E129" s="171">
        <f t="shared" si="17"/>
        <v>1</v>
      </c>
      <c r="F129" s="168">
        <f t="shared" si="15"/>
        <v>0.99</v>
      </c>
      <c r="G129" s="1021">
        <v>110000</v>
      </c>
      <c r="H129" s="468">
        <v>11.09</v>
      </c>
      <c r="I129" s="1239" t="s">
        <v>17</v>
      </c>
      <c r="J129" s="153">
        <f t="shared" si="13"/>
        <v>108900</v>
      </c>
      <c r="K129" s="421"/>
      <c r="L129" s="657"/>
      <c r="M129" s="41"/>
      <c r="N129" s="36"/>
      <c r="O129" s="27"/>
      <c r="P129" s="536"/>
      <c r="Q129" s="537"/>
      <c r="R129" s="318">
        <v>1</v>
      </c>
      <c r="S129" s="319">
        <v>0.99</v>
      </c>
      <c r="T129" s="242"/>
      <c r="U129" s="213"/>
    </row>
    <row r="130" spans="1:22" s="151" customFormat="1" ht="18" customHeight="1">
      <c r="A130" s="1285"/>
      <c r="B130" s="1230" t="s">
        <v>23</v>
      </c>
      <c r="C130" s="539" t="s">
        <v>42</v>
      </c>
      <c r="D130" s="983" t="s">
        <v>56</v>
      </c>
      <c r="E130" s="171"/>
      <c r="F130" s="80">
        <v>15</v>
      </c>
      <c r="G130" s="286">
        <v>135000</v>
      </c>
      <c r="H130" s="1201" t="s">
        <v>127</v>
      </c>
      <c r="I130" s="1202" t="s">
        <v>17</v>
      </c>
      <c r="J130" s="153"/>
      <c r="K130" s="421"/>
      <c r="L130" s="657"/>
      <c r="M130" s="41"/>
      <c r="N130" s="36"/>
      <c r="O130" s="27"/>
      <c r="P130" s="536"/>
      <c r="Q130" s="537"/>
      <c r="R130" s="318"/>
      <c r="S130" s="319"/>
      <c r="T130" s="242"/>
      <c r="U130" s="213"/>
    </row>
    <row r="131" spans="1:22" s="151" customFormat="1" ht="18" customHeight="1">
      <c r="A131" s="1285"/>
      <c r="B131" s="1230" t="s">
        <v>23</v>
      </c>
      <c r="C131" s="539" t="s">
        <v>42</v>
      </c>
      <c r="D131" s="983" t="s">
        <v>38</v>
      </c>
      <c r="E131" s="171"/>
      <c r="F131" s="168">
        <v>40</v>
      </c>
      <c r="G131" s="201">
        <v>89000</v>
      </c>
      <c r="H131" s="468" t="s">
        <v>127</v>
      </c>
      <c r="I131" s="1238" t="s">
        <v>17</v>
      </c>
      <c r="J131" s="153"/>
      <c r="K131" s="421"/>
      <c r="L131" s="657"/>
      <c r="M131" s="41"/>
      <c r="N131" s="36"/>
      <c r="O131" s="27"/>
      <c r="P131" s="536"/>
      <c r="Q131" s="537"/>
      <c r="R131" s="318"/>
      <c r="S131" s="319"/>
      <c r="T131" s="242"/>
      <c r="U131" s="213"/>
    </row>
    <row r="132" spans="1:22" s="151" customFormat="1" ht="18" customHeight="1">
      <c r="A132" s="1285"/>
      <c r="B132" s="1230" t="s">
        <v>23</v>
      </c>
      <c r="C132" s="539" t="s">
        <v>42</v>
      </c>
      <c r="D132" s="983" t="s">
        <v>38</v>
      </c>
      <c r="E132" s="171">
        <f t="shared" si="17"/>
        <v>1</v>
      </c>
      <c r="F132" s="168">
        <v>20</v>
      </c>
      <c r="G132" s="201">
        <v>125000</v>
      </c>
      <c r="H132" s="468">
        <v>9.1</v>
      </c>
      <c r="I132" s="1238" t="s">
        <v>17</v>
      </c>
      <c r="J132" s="153">
        <f>MMULT(F132,G132)</f>
        <v>2500000</v>
      </c>
      <c r="K132" s="421"/>
      <c r="L132" s="657"/>
      <c r="M132" s="41"/>
      <c r="N132" s="36"/>
      <c r="O132" s="27"/>
      <c r="P132" s="536"/>
      <c r="Q132" s="537"/>
      <c r="R132" s="318">
        <v>1</v>
      </c>
      <c r="S132" s="319">
        <v>0.85</v>
      </c>
      <c r="T132" s="242"/>
      <c r="U132" s="213"/>
    </row>
    <row r="133" spans="1:22" s="151" customFormat="1" ht="18" customHeight="1">
      <c r="A133" s="1285"/>
      <c r="B133" s="1231" t="s">
        <v>23</v>
      </c>
      <c r="C133" s="539" t="s">
        <v>41</v>
      </c>
      <c r="D133" s="983" t="s">
        <v>53</v>
      </c>
      <c r="E133" s="171">
        <f t="shared" si="17"/>
        <v>6</v>
      </c>
      <c r="F133" s="168">
        <f t="shared" si="15"/>
        <v>5.34</v>
      </c>
      <c r="G133" s="201">
        <v>75000</v>
      </c>
      <c r="H133" s="468" t="s">
        <v>84</v>
      </c>
      <c r="I133" s="1238" t="s">
        <v>17</v>
      </c>
      <c r="J133" s="153">
        <f t="shared" si="13"/>
        <v>400500</v>
      </c>
      <c r="K133" s="421"/>
      <c r="L133" s="657"/>
      <c r="M133" s="41"/>
      <c r="N133" s="36"/>
      <c r="O133" s="184"/>
      <c r="P133" s="156"/>
      <c r="Q133" s="42"/>
      <c r="R133" s="320">
        <v>6</v>
      </c>
      <c r="S133" s="321">
        <f>MMULT(R133,0.89)</f>
        <v>5.34</v>
      </c>
      <c r="T133" s="242"/>
      <c r="U133" s="213"/>
    </row>
    <row r="134" spans="1:22" ht="18" customHeight="1">
      <c r="A134" s="1285"/>
      <c r="B134" s="1232" t="s">
        <v>24</v>
      </c>
      <c r="C134" s="539" t="s">
        <v>42</v>
      </c>
      <c r="D134" s="983" t="s">
        <v>38</v>
      </c>
      <c r="E134" s="171">
        <f t="shared" si="17"/>
        <v>12</v>
      </c>
      <c r="F134" s="168">
        <f t="shared" si="15"/>
        <v>15.4</v>
      </c>
      <c r="G134" s="201">
        <v>105000</v>
      </c>
      <c r="H134" s="468"/>
      <c r="I134" s="1238" t="s">
        <v>17</v>
      </c>
      <c r="J134" s="153">
        <f t="shared" si="13"/>
        <v>1617000</v>
      </c>
      <c r="K134" s="421"/>
      <c r="L134" s="657"/>
      <c r="M134" s="43"/>
      <c r="N134" s="152"/>
      <c r="O134" s="27"/>
      <c r="P134" s="158"/>
      <c r="Q134" s="155"/>
      <c r="R134" s="174">
        <v>12</v>
      </c>
      <c r="S134" s="178">
        <v>15.4</v>
      </c>
      <c r="T134" s="117"/>
      <c r="U134" s="88" t="s">
        <v>170</v>
      </c>
      <c r="V134" s="151"/>
    </row>
    <row r="135" spans="1:22" ht="18" customHeight="1">
      <c r="A135" s="1285"/>
      <c r="B135" s="1233" t="s">
        <v>21</v>
      </c>
      <c r="C135" s="548" t="s">
        <v>203</v>
      </c>
      <c r="D135" s="977" t="s">
        <v>56</v>
      </c>
      <c r="E135" s="199">
        <v>7</v>
      </c>
      <c r="F135" s="228">
        <v>4</v>
      </c>
      <c r="G135" s="445">
        <v>69000</v>
      </c>
      <c r="H135" s="475"/>
      <c r="I135" s="1240" t="s">
        <v>17</v>
      </c>
      <c r="J135" s="44"/>
      <c r="K135" s="305"/>
      <c r="L135" s="641"/>
      <c r="M135" s="920"/>
      <c r="N135" s="251"/>
      <c r="O135" s="252"/>
      <c r="P135" s="921"/>
      <c r="Q135" s="849"/>
      <c r="R135" s="826"/>
      <c r="S135" s="922"/>
      <c r="T135" s="182"/>
      <c r="U135" s="253"/>
      <c r="V135" s="151"/>
    </row>
    <row r="136" spans="1:22" ht="18" customHeight="1" thickBot="1">
      <c r="A136" s="1286"/>
      <c r="B136" s="1241" t="s">
        <v>22</v>
      </c>
      <c r="C136" s="1242" t="s">
        <v>203</v>
      </c>
      <c r="D136" s="1243" t="s">
        <v>39</v>
      </c>
      <c r="E136" s="1244">
        <f t="shared" si="17"/>
        <v>15</v>
      </c>
      <c r="F136" s="1245">
        <f>SUM(K136,M136,O136,Q136,S136)</f>
        <v>1.68</v>
      </c>
      <c r="G136" s="1246">
        <v>65000</v>
      </c>
      <c r="H136" s="1247" t="s">
        <v>87</v>
      </c>
      <c r="I136" s="1248" t="s">
        <v>17</v>
      </c>
      <c r="J136" s="66">
        <f>MMULT(F136,G136)</f>
        <v>109200</v>
      </c>
      <c r="K136" s="330"/>
      <c r="L136" s="642"/>
      <c r="M136" s="552"/>
      <c r="N136" s="50"/>
      <c r="O136" s="52"/>
      <c r="P136" s="87"/>
      <c r="Q136" s="553"/>
      <c r="R136" s="554">
        <v>15</v>
      </c>
      <c r="S136" s="337">
        <v>1.68</v>
      </c>
      <c r="T136" s="180"/>
      <c r="U136" s="338"/>
      <c r="V136" s="151"/>
    </row>
    <row r="137" spans="1:22" ht="18" customHeight="1" thickBot="1">
      <c r="A137" s="1287">
        <v>273</v>
      </c>
      <c r="B137" s="1249" t="s">
        <v>222</v>
      </c>
      <c r="C137" s="1133" t="s">
        <v>42</v>
      </c>
      <c r="D137" s="1071" t="s">
        <v>56</v>
      </c>
      <c r="E137" s="1253"/>
      <c r="F137" s="1254">
        <v>20</v>
      </c>
      <c r="G137" s="1011">
        <v>130000</v>
      </c>
      <c r="H137" s="1255"/>
      <c r="I137" s="1106" t="s">
        <v>17</v>
      </c>
      <c r="J137" s="159"/>
      <c r="K137" s="166"/>
      <c r="L137" s="643"/>
      <c r="M137" s="129"/>
      <c r="N137" s="128"/>
      <c r="O137" s="1227"/>
      <c r="P137" s="128"/>
      <c r="Q137" s="132"/>
      <c r="R137" s="1228"/>
      <c r="S137" s="1229"/>
      <c r="T137" s="127"/>
      <c r="U137" s="246"/>
      <c r="V137" s="151"/>
    </row>
    <row r="138" spans="1:22" ht="18" customHeight="1">
      <c r="A138" s="1288"/>
      <c r="B138" s="1252" t="s">
        <v>20</v>
      </c>
      <c r="C138" s="1112" t="s">
        <v>42</v>
      </c>
      <c r="D138" s="1079" t="s">
        <v>38</v>
      </c>
      <c r="E138" s="1123">
        <f t="shared" si="17"/>
        <v>2</v>
      </c>
      <c r="F138" s="1110">
        <f>SUM(S138,Q138,O138,M138,K138)</f>
        <v>1.45</v>
      </c>
      <c r="G138" s="1022">
        <v>125000</v>
      </c>
      <c r="H138" s="1080" t="s">
        <v>80</v>
      </c>
      <c r="I138" s="1111" t="s">
        <v>17</v>
      </c>
      <c r="J138" s="224">
        <f t="shared" si="13"/>
        <v>181250</v>
      </c>
      <c r="K138" s="95"/>
      <c r="L138" s="658"/>
      <c r="M138" s="226"/>
      <c r="N138" s="348"/>
      <c r="O138" s="349"/>
      <c r="P138" s="225"/>
      <c r="Q138" s="247"/>
      <c r="R138" s="248">
        <v>2</v>
      </c>
      <c r="S138" s="272">
        <v>1.45</v>
      </c>
      <c r="T138" s="137"/>
      <c r="U138" s="227"/>
      <c r="V138" s="151"/>
    </row>
    <row r="139" spans="1:22" ht="18" customHeight="1">
      <c r="A139" s="1288"/>
      <c r="B139" s="1250" t="s">
        <v>23</v>
      </c>
      <c r="C139" s="1125" t="s">
        <v>42</v>
      </c>
      <c r="D139" s="1073" t="s">
        <v>38</v>
      </c>
      <c r="E139" s="1126">
        <f t="shared" ref="E139:E145" si="18">SUM(R139,P139,N139,L139,U139)</f>
        <v>2</v>
      </c>
      <c r="F139" s="1127">
        <f>SUM(S139,Q139,O139,M139,K139)</f>
        <v>1.52</v>
      </c>
      <c r="G139" s="286">
        <v>125000</v>
      </c>
      <c r="H139" s="1128" t="s">
        <v>81</v>
      </c>
      <c r="I139" s="1077" t="s">
        <v>17</v>
      </c>
      <c r="J139" s="141">
        <f t="shared" si="13"/>
        <v>190000</v>
      </c>
      <c r="K139" s="142"/>
      <c r="L139" s="659"/>
      <c r="M139" s="238"/>
      <c r="N139" s="239"/>
      <c r="O139" s="240"/>
      <c r="P139" s="237"/>
      <c r="Q139" s="241"/>
      <c r="R139" s="535">
        <v>2</v>
      </c>
      <c r="S139" s="342">
        <v>1.52</v>
      </c>
      <c r="T139" s="242"/>
      <c r="U139" s="243"/>
      <c r="V139" s="151"/>
    </row>
    <row r="140" spans="1:22" ht="18" customHeight="1">
      <c r="A140" s="1288"/>
      <c r="B140" s="1250" t="s">
        <v>23</v>
      </c>
      <c r="C140" s="1125" t="s">
        <v>203</v>
      </c>
      <c r="D140" s="1073" t="s">
        <v>38</v>
      </c>
      <c r="E140" s="1126">
        <f t="shared" si="18"/>
        <v>2</v>
      </c>
      <c r="F140" s="1127">
        <f>SUM(S140,Q140,O140,M140,K140)</f>
        <v>1.5049999999999999</v>
      </c>
      <c r="G140" s="286">
        <v>75000</v>
      </c>
      <c r="H140" s="1128" t="s">
        <v>139</v>
      </c>
      <c r="I140" s="1077" t="s">
        <v>17</v>
      </c>
      <c r="J140" s="141">
        <f t="shared" si="13"/>
        <v>112874.99999999999</v>
      </c>
      <c r="K140" s="142"/>
      <c r="L140" s="659"/>
      <c r="M140" s="238"/>
      <c r="N140" s="239"/>
      <c r="O140" s="240"/>
      <c r="P140" s="237"/>
      <c r="Q140" s="241"/>
      <c r="R140" s="535">
        <v>2</v>
      </c>
      <c r="S140" s="342">
        <v>1.5049999999999999</v>
      </c>
      <c r="T140" s="242"/>
      <c r="U140" s="243"/>
      <c r="V140" s="151"/>
    </row>
    <row r="141" spans="1:22" ht="18" customHeight="1">
      <c r="A141" s="1288"/>
      <c r="B141" s="1250" t="s">
        <v>23</v>
      </c>
      <c r="C141" s="1125" t="s">
        <v>26</v>
      </c>
      <c r="D141" s="1073" t="s">
        <v>38</v>
      </c>
      <c r="E141" s="1126">
        <f t="shared" si="18"/>
        <v>30</v>
      </c>
      <c r="F141" s="1127" t="s">
        <v>133</v>
      </c>
      <c r="G141" s="286">
        <v>75000</v>
      </c>
      <c r="H141" s="1128"/>
      <c r="I141" s="1077" t="s">
        <v>17</v>
      </c>
      <c r="J141" s="141"/>
      <c r="K141" s="142"/>
      <c r="L141" s="659"/>
      <c r="M141" s="238"/>
      <c r="N141" s="239"/>
      <c r="O141" s="240"/>
      <c r="P141" s="237"/>
      <c r="Q141" s="241"/>
      <c r="R141" s="244">
        <v>30</v>
      </c>
      <c r="S141" s="245"/>
      <c r="T141" s="242"/>
      <c r="U141" s="243"/>
      <c r="V141" s="151"/>
    </row>
    <row r="142" spans="1:22" ht="18" customHeight="1">
      <c r="A142" s="1288"/>
      <c r="B142" s="1250" t="s">
        <v>51</v>
      </c>
      <c r="C142" s="1125" t="s">
        <v>26</v>
      </c>
      <c r="D142" s="1073" t="s">
        <v>38</v>
      </c>
      <c r="E142" s="1126">
        <f t="shared" si="18"/>
        <v>120</v>
      </c>
      <c r="F142" s="1127">
        <f>SUM(S142,Q142,O142,M142,K142)</f>
        <v>78</v>
      </c>
      <c r="G142" s="286">
        <v>75000</v>
      </c>
      <c r="H142" s="1128"/>
      <c r="I142" s="1077" t="s">
        <v>17</v>
      </c>
      <c r="J142" s="141">
        <v>6633000</v>
      </c>
      <c r="K142" s="142"/>
      <c r="L142" s="659"/>
      <c r="M142" s="238"/>
      <c r="N142" s="239"/>
      <c r="O142" s="240"/>
      <c r="P142" s="237"/>
      <c r="Q142" s="241"/>
      <c r="R142" s="244">
        <v>120</v>
      </c>
      <c r="S142" s="245">
        <f>MMULT(R142,0.65)</f>
        <v>78</v>
      </c>
      <c r="T142" s="242"/>
      <c r="U142" s="243"/>
      <c r="V142" s="151"/>
    </row>
    <row r="143" spans="1:22" ht="18" customHeight="1">
      <c r="A143" s="1288"/>
      <c r="B143" s="1250" t="s">
        <v>24</v>
      </c>
      <c r="C143" s="1125" t="s">
        <v>26</v>
      </c>
      <c r="D143" s="1073" t="s">
        <v>38</v>
      </c>
      <c r="E143" s="1126">
        <f t="shared" si="18"/>
        <v>30</v>
      </c>
      <c r="F143" s="1127" t="s">
        <v>134</v>
      </c>
      <c r="G143" s="286">
        <v>75000</v>
      </c>
      <c r="H143" s="1128"/>
      <c r="I143" s="1077" t="s">
        <v>17</v>
      </c>
      <c r="J143" s="141"/>
      <c r="K143" s="150"/>
      <c r="L143" s="659"/>
      <c r="M143" s="238"/>
      <c r="N143" s="449"/>
      <c r="O143" s="240"/>
      <c r="P143" s="491"/>
      <c r="Q143" s="492"/>
      <c r="R143" s="244">
        <v>30</v>
      </c>
      <c r="S143" s="245"/>
      <c r="T143" s="242"/>
      <c r="U143" s="243"/>
      <c r="V143" s="151"/>
    </row>
    <row r="144" spans="1:22" ht="18" customHeight="1">
      <c r="A144" s="1288"/>
      <c r="B144" s="1250" t="s">
        <v>24</v>
      </c>
      <c r="C144" s="1125" t="s">
        <v>26</v>
      </c>
      <c r="D144" s="1073" t="s">
        <v>36</v>
      </c>
      <c r="E144" s="1126">
        <f t="shared" si="18"/>
        <v>4</v>
      </c>
      <c r="F144" s="1127">
        <f>SUM(S144,Q144,O144,M144,K144)</f>
        <v>2.2000000000000002</v>
      </c>
      <c r="G144" s="286">
        <v>60000</v>
      </c>
      <c r="H144" s="1128" t="s">
        <v>85</v>
      </c>
      <c r="I144" s="1077" t="s">
        <v>17</v>
      </c>
      <c r="J144" s="141">
        <f>MMULT(F144,G144)</f>
        <v>132000</v>
      </c>
      <c r="K144" s="150"/>
      <c r="L144" s="659"/>
      <c r="M144" s="238"/>
      <c r="N144" s="449"/>
      <c r="O144" s="240"/>
      <c r="P144" s="491"/>
      <c r="Q144" s="492"/>
      <c r="R144" s="244">
        <v>4</v>
      </c>
      <c r="S144" s="245">
        <v>2.2000000000000002</v>
      </c>
      <c r="T144" s="242"/>
      <c r="U144" s="243"/>
      <c r="V144" s="151"/>
    </row>
    <row r="145" spans="1:35" s="107" customFormat="1" ht="18" customHeight="1" thickBot="1">
      <c r="A145" s="1289"/>
      <c r="B145" s="1251" t="s">
        <v>24</v>
      </c>
      <c r="C145" s="1129" t="s">
        <v>42</v>
      </c>
      <c r="D145" s="1097" t="s">
        <v>38</v>
      </c>
      <c r="E145" s="1130">
        <f t="shared" si="18"/>
        <v>2</v>
      </c>
      <c r="F145" s="1131">
        <f>SUM(S145,Q145,O145,M145,K145)</f>
        <v>1.155</v>
      </c>
      <c r="G145" s="910">
        <v>125000</v>
      </c>
      <c r="H145" s="1132" t="s">
        <v>78</v>
      </c>
      <c r="I145" s="1101" t="s">
        <v>17</v>
      </c>
      <c r="J145" s="215">
        <f t="shared" si="13"/>
        <v>144375</v>
      </c>
      <c r="K145" s="630"/>
      <c r="L145" s="644"/>
      <c r="M145" s="631"/>
      <c r="N145" s="632"/>
      <c r="O145" s="633"/>
      <c r="P145" s="525"/>
      <c r="Q145" s="256"/>
      <c r="R145" s="634">
        <v>2</v>
      </c>
      <c r="S145" s="635">
        <v>1.155</v>
      </c>
      <c r="T145" s="636"/>
      <c r="U145" s="510" t="s">
        <v>71</v>
      </c>
      <c r="V145" s="106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1:35" ht="18" customHeight="1">
      <c r="A146" s="1264">
        <v>219</v>
      </c>
      <c r="B146" s="192" t="s">
        <v>57</v>
      </c>
      <c r="C146" s="546" t="s">
        <v>42</v>
      </c>
      <c r="D146" s="991" t="s">
        <v>65</v>
      </c>
      <c r="E146" s="197">
        <f t="shared" ref="E146:E158" si="19">SUM(R146,P146,N146,L146)</f>
        <v>2</v>
      </c>
      <c r="F146" s="623">
        <f t="shared" ref="F146:F180" si="20">SUM(K146,M146,O146,Q146,S146)</f>
        <v>1.5169999999999999</v>
      </c>
      <c r="G146" s="624">
        <v>95000</v>
      </c>
      <c r="H146" s="493" t="s">
        <v>90</v>
      </c>
      <c r="I146" s="460" t="s">
        <v>17</v>
      </c>
      <c r="J146" s="625">
        <f t="shared" ref="J146:J180" si="21">MMULT(F146,G146)</f>
        <v>144115</v>
      </c>
      <c r="K146" s="166"/>
      <c r="L146" s="650"/>
      <c r="M146" s="626"/>
      <c r="N146" s="126"/>
      <c r="O146" s="627"/>
      <c r="P146" s="358"/>
      <c r="Q146" s="628"/>
      <c r="R146" s="629">
        <v>2</v>
      </c>
      <c r="S146" s="343">
        <v>1.5169999999999999</v>
      </c>
      <c r="T146" s="127"/>
      <c r="U146" s="246"/>
    </row>
    <row r="147" spans="1:35" ht="18" customHeight="1">
      <c r="A147" s="1264"/>
      <c r="B147" s="193" t="s">
        <v>59</v>
      </c>
      <c r="C147" s="546" t="s">
        <v>42</v>
      </c>
      <c r="D147" s="980"/>
      <c r="E147" s="138">
        <f t="shared" si="19"/>
        <v>1</v>
      </c>
      <c r="F147" s="264">
        <f t="shared" si="20"/>
        <v>0.745</v>
      </c>
      <c r="G147" s="265">
        <v>125000</v>
      </c>
      <c r="H147" s="477">
        <v>11.29</v>
      </c>
      <c r="I147" s="461" t="s">
        <v>17</v>
      </c>
      <c r="J147" s="266">
        <f t="shared" si="21"/>
        <v>93125</v>
      </c>
      <c r="K147" s="142"/>
      <c r="L147" s="656"/>
      <c r="M147" s="268"/>
      <c r="N147" s="269"/>
      <c r="O147" s="270"/>
      <c r="P147" s="267"/>
      <c r="Q147" s="271"/>
      <c r="R147" s="341">
        <v>1</v>
      </c>
      <c r="S147" s="342">
        <v>0.745</v>
      </c>
      <c r="T147" s="242"/>
      <c r="U147" s="243"/>
    </row>
    <row r="148" spans="1:35" ht="18" customHeight="1">
      <c r="A148" s="1264"/>
      <c r="B148" s="193" t="s">
        <v>20</v>
      </c>
      <c r="C148" s="546" t="s">
        <v>26</v>
      </c>
      <c r="D148" s="980"/>
      <c r="E148" s="138"/>
      <c r="F148" s="264">
        <v>15</v>
      </c>
      <c r="G148" s="265">
        <v>69000</v>
      </c>
      <c r="H148" s="477"/>
      <c r="I148" s="461" t="s">
        <v>17</v>
      </c>
      <c r="J148" s="266"/>
      <c r="K148" s="142"/>
      <c r="L148" s="656"/>
      <c r="M148" s="268"/>
      <c r="N148" s="269"/>
      <c r="O148" s="270"/>
      <c r="P148" s="267"/>
      <c r="Q148" s="271"/>
      <c r="R148" s="341"/>
      <c r="S148" s="342"/>
      <c r="T148" s="242"/>
      <c r="U148" s="243"/>
    </row>
    <row r="149" spans="1:35" ht="18" customHeight="1">
      <c r="A149" s="1264"/>
      <c r="B149" s="193" t="s">
        <v>52</v>
      </c>
      <c r="C149" s="546" t="s">
        <v>26</v>
      </c>
      <c r="D149" s="980"/>
      <c r="E149" s="138"/>
      <c r="F149" s="264">
        <v>13.5</v>
      </c>
      <c r="G149" s="265">
        <v>69000</v>
      </c>
      <c r="H149" s="477"/>
      <c r="I149" s="461" t="s">
        <v>17</v>
      </c>
      <c r="J149" s="266"/>
      <c r="K149" s="142"/>
      <c r="L149" s="656"/>
      <c r="M149" s="268"/>
      <c r="N149" s="269"/>
      <c r="O149" s="270"/>
      <c r="P149" s="267"/>
      <c r="Q149" s="271"/>
      <c r="R149" s="341"/>
      <c r="S149" s="342"/>
      <c r="T149" s="242"/>
      <c r="U149" s="243"/>
    </row>
    <row r="150" spans="1:35" ht="18" customHeight="1">
      <c r="A150" s="1264"/>
      <c r="B150" s="193" t="s">
        <v>23</v>
      </c>
      <c r="C150" s="546" t="s">
        <v>26</v>
      </c>
      <c r="D150" s="980"/>
      <c r="E150" s="138"/>
      <c r="F150" s="264">
        <v>12</v>
      </c>
      <c r="G150" s="265">
        <v>69000</v>
      </c>
      <c r="H150" s="477"/>
      <c r="I150" s="461" t="s">
        <v>17</v>
      </c>
      <c r="J150" s="266"/>
      <c r="K150" s="142"/>
      <c r="L150" s="656"/>
      <c r="M150" s="268"/>
      <c r="N150" s="269"/>
      <c r="O150" s="270"/>
      <c r="P150" s="267"/>
      <c r="Q150" s="271"/>
      <c r="R150" s="341"/>
      <c r="S150" s="342"/>
      <c r="T150" s="242"/>
      <c r="U150" s="243"/>
    </row>
    <row r="151" spans="1:35" ht="18" customHeight="1">
      <c r="A151" s="1264"/>
      <c r="B151" s="193">
        <v>8</v>
      </c>
      <c r="C151" s="546" t="s">
        <v>26</v>
      </c>
      <c r="D151" s="992" t="s">
        <v>36</v>
      </c>
      <c r="E151" s="138" t="s">
        <v>19</v>
      </c>
      <c r="F151" s="264">
        <v>120</v>
      </c>
      <c r="G151" s="265">
        <v>89000</v>
      </c>
      <c r="H151" s="477" t="s">
        <v>123</v>
      </c>
      <c r="I151" s="461" t="s">
        <v>17</v>
      </c>
      <c r="J151" s="266">
        <v>223600</v>
      </c>
      <c r="K151" s="142"/>
      <c r="L151" s="656"/>
      <c r="M151" s="268"/>
      <c r="N151" s="269"/>
      <c r="O151" s="270"/>
      <c r="P151" s="267"/>
      <c r="Q151" s="271"/>
      <c r="R151" s="518">
        <v>3</v>
      </c>
      <c r="S151" s="245">
        <v>1.4330000000000001</v>
      </c>
      <c r="T151" s="242"/>
      <c r="U151" s="243"/>
    </row>
    <row r="152" spans="1:35" s="107" customFormat="1" ht="18" customHeight="1">
      <c r="A152" s="1264"/>
      <c r="B152" s="188">
        <v>8</v>
      </c>
      <c r="C152" s="539" t="s">
        <v>26</v>
      </c>
      <c r="D152" s="983" t="s">
        <v>36</v>
      </c>
      <c r="E152" s="171">
        <f t="shared" si="19"/>
        <v>6</v>
      </c>
      <c r="F152" s="80">
        <f t="shared" si="20"/>
        <v>2.58</v>
      </c>
      <c r="G152" s="203">
        <v>65000</v>
      </c>
      <c r="H152" s="471" t="s">
        <v>124</v>
      </c>
      <c r="I152" s="452" t="s">
        <v>17</v>
      </c>
      <c r="J152" s="153">
        <f t="shared" si="21"/>
        <v>167700</v>
      </c>
      <c r="K152" s="110"/>
      <c r="L152" s="660"/>
      <c r="M152" s="133"/>
      <c r="N152" s="134"/>
      <c r="O152" s="135"/>
      <c r="P152" s="35"/>
      <c r="Q152" s="42"/>
      <c r="R152" s="136">
        <v>6</v>
      </c>
      <c r="S152" s="119">
        <f>MMULT(R152,0.43)</f>
        <v>2.58</v>
      </c>
      <c r="T152" s="117"/>
      <c r="U152" s="109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</row>
    <row r="153" spans="1:35" ht="18" customHeight="1">
      <c r="A153" s="1264"/>
      <c r="B153" s="190" t="s">
        <v>24</v>
      </c>
      <c r="C153" s="547" t="s">
        <v>18</v>
      </c>
      <c r="D153" s="993" t="s">
        <v>36</v>
      </c>
      <c r="E153" s="196">
        <f t="shared" si="19"/>
        <v>3</v>
      </c>
      <c r="F153" s="79">
        <f t="shared" si="20"/>
        <v>1.41</v>
      </c>
      <c r="G153" s="202">
        <v>50000</v>
      </c>
      <c r="H153" s="472" t="s">
        <v>83</v>
      </c>
      <c r="I153" s="458" t="s">
        <v>17</v>
      </c>
      <c r="J153" s="45">
        <f t="shared" si="21"/>
        <v>70500</v>
      </c>
      <c r="K153" s="97"/>
      <c r="L153" s="661"/>
      <c r="M153" s="113"/>
      <c r="N153" s="114"/>
      <c r="O153" s="121"/>
      <c r="P153" s="34"/>
      <c r="Q153" s="122"/>
      <c r="R153" s="123">
        <v>3</v>
      </c>
      <c r="S153" s="124">
        <f>MMULT(R153,0.47)</f>
        <v>1.41</v>
      </c>
      <c r="T153" s="89"/>
      <c r="U153" s="90"/>
    </row>
    <row r="154" spans="1:35" ht="18" customHeight="1">
      <c r="A154" s="1264"/>
      <c r="B154" s="195" t="s">
        <v>24</v>
      </c>
      <c r="C154" s="566" t="s">
        <v>42</v>
      </c>
      <c r="D154" s="994" t="s">
        <v>39</v>
      </c>
      <c r="E154" s="567">
        <f t="shared" si="19"/>
        <v>11</v>
      </c>
      <c r="F154" s="568">
        <f>SUM(K154,M154,O154,Q154,S154)</f>
        <v>5</v>
      </c>
      <c r="G154" s="569">
        <v>125000</v>
      </c>
      <c r="H154" s="570" t="s">
        <v>91</v>
      </c>
      <c r="I154" s="571" t="s">
        <v>17</v>
      </c>
      <c r="J154" s="572">
        <f>MMULT(F154,G154)</f>
        <v>625000</v>
      </c>
      <c r="K154" s="573"/>
      <c r="L154" s="662"/>
      <c r="M154" s="575"/>
      <c r="N154" s="576"/>
      <c r="O154" s="577"/>
      <c r="P154" s="574"/>
      <c r="Q154" s="578"/>
      <c r="R154" s="582">
        <v>11</v>
      </c>
      <c r="S154" s="581">
        <v>5</v>
      </c>
      <c r="T154" s="579"/>
      <c r="U154" s="580"/>
    </row>
    <row r="155" spans="1:35" ht="18" customHeight="1">
      <c r="A155" s="1264"/>
      <c r="B155" s="191" t="s">
        <v>24</v>
      </c>
      <c r="C155" s="548" t="s">
        <v>42</v>
      </c>
      <c r="D155" s="995" t="s">
        <v>38</v>
      </c>
      <c r="E155" s="139"/>
      <c r="F155" s="81">
        <v>21</v>
      </c>
      <c r="G155" s="328">
        <v>130000</v>
      </c>
      <c r="H155" s="469" t="s">
        <v>196</v>
      </c>
      <c r="I155" s="459" t="s">
        <v>17</v>
      </c>
      <c r="J155" s="329">
        <f>MMULT(F155,G155)</f>
        <v>2730000</v>
      </c>
      <c r="K155" s="330"/>
      <c r="L155" s="663"/>
      <c r="M155" s="332"/>
      <c r="N155" s="333"/>
      <c r="O155" s="334"/>
      <c r="P155" s="331"/>
      <c r="Q155" s="335"/>
      <c r="R155" s="517"/>
      <c r="S155" s="516">
        <v>20</v>
      </c>
      <c r="T155" s="180"/>
      <c r="U155" s="338"/>
    </row>
    <row r="156" spans="1:35" ht="18" customHeight="1">
      <c r="A156" s="1264"/>
      <c r="B156" s="191" t="s">
        <v>24</v>
      </c>
      <c r="C156" s="548" t="s">
        <v>42</v>
      </c>
      <c r="D156" s="995" t="s">
        <v>38</v>
      </c>
      <c r="E156" s="139">
        <f t="shared" si="19"/>
        <v>4</v>
      </c>
      <c r="F156" s="81">
        <f t="shared" si="20"/>
        <v>1.3</v>
      </c>
      <c r="G156" s="328">
        <v>120000</v>
      </c>
      <c r="H156" s="469" t="s">
        <v>171</v>
      </c>
      <c r="I156" s="459" t="s">
        <v>17</v>
      </c>
      <c r="J156" s="329">
        <f t="shared" si="21"/>
        <v>156000</v>
      </c>
      <c r="K156" s="330"/>
      <c r="L156" s="663"/>
      <c r="M156" s="332"/>
      <c r="N156" s="333"/>
      <c r="O156" s="334"/>
      <c r="P156" s="331"/>
      <c r="Q156" s="335"/>
      <c r="R156" s="517">
        <v>4</v>
      </c>
      <c r="S156" s="516">
        <v>1.3</v>
      </c>
      <c r="T156" s="180"/>
      <c r="U156" s="338"/>
    </row>
    <row r="157" spans="1:35" ht="18" customHeight="1">
      <c r="A157" s="1264"/>
      <c r="B157" s="195" t="s">
        <v>24</v>
      </c>
      <c r="C157" s="541" t="s">
        <v>203</v>
      </c>
      <c r="D157" s="996" t="s">
        <v>38</v>
      </c>
      <c r="E157" s="199">
        <f t="shared" si="19"/>
        <v>5</v>
      </c>
      <c r="F157" s="200">
        <f t="shared" si="20"/>
        <v>2.5</v>
      </c>
      <c r="G157" s="322">
        <v>70000</v>
      </c>
      <c r="H157" s="478" t="s">
        <v>77</v>
      </c>
      <c r="I157" s="462" t="s">
        <v>17</v>
      </c>
      <c r="J157" s="323">
        <f t="shared" si="21"/>
        <v>175000</v>
      </c>
      <c r="K157" s="305"/>
      <c r="L157" s="664"/>
      <c r="M157" s="324"/>
      <c r="N157" s="325"/>
      <c r="O157" s="326"/>
      <c r="P157" s="306"/>
      <c r="Q157" s="327"/>
      <c r="R157" s="515">
        <v>5</v>
      </c>
      <c r="S157" s="254">
        <f>MMULT(R157,0.5)</f>
        <v>2.5</v>
      </c>
      <c r="T157" s="182"/>
      <c r="U157" s="253" t="s">
        <v>71</v>
      </c>
    </row>
    <row r="158" spans="1:35" ht="18" customHeight="1" thickBot="1">
      <c r="A158" s="1264"/>
      <c r="B158" s="955">
        <v>8</v>
      </c>
      <c r="C158" s="956" t="s">
        <v>203</v>
      </c>
      <c r="D158" s="994" t="s">
        <v>46</v>
      </c>
      <c r="E158" s="567">
        <f t="shared" si="19"/>
        <v>33</v>
      </c>
      <c r="F158" s="568">
        <f t="shared" si="20"/>
        <v>15.081000000000001</v>
      </c>
      <c r="G158" s="569">
        <v>65000</v>
      </c>
      <c r="H158" s="570" t="s">
        <v>89</v>
      </c>
      <c r="I158" s="571" t="s">
        <v>17</v>
      </c>
      <c r="J158" s="329">
        <f t="shared" si="21"/>
        <v>980265.00000000012</v>
      </c>
      <c r="K158" s="330"/>
      <c r="L158" s="663"/>
      <c r="M158" s="332"/>
      <c r="N158" s="333"/>
      <c r="O158" s="334"/>
      <c r="P158" s="331"/>
      <c r="Q158" s="335"/>
      <c r="R158" s="336">
        <v>33</v>
      </c>
      <c r="S158" s="337">
        <f>MMULT(R158,0.457)</f>
        <v>15.081000000000001</v>
      </c>
      <c r="T158" s="180"/>
      <c r="U158" s="338"/>
    </row>
    <row r="159" spans="1:35" ht="18" customHeight="1" thickBot="1">
      <c r="A159" s="1280">
        <v>168</v>
      </c>
      <c r="B159" s="953" t="s">
        <v>24</v>
      </c>
      <c r="C159" s="1133" t="s">
        <v>42</v>
      </c>
      <c r="D159" s="1139" t="s">
        <v>56</v>
      </c>
      <c r="E159" s="1134"/>
      <c r="F159" s="1104">
        <v>40</v>
      </c>
      <c r="G159" s="957">
        <v>130000</v>
      </c>
      <c r="H159" s="1105"/>
      <c r="I159" s="1136" t="s">
        <v>17</v>
      </c>
      <c r="J159" s="323"/>
      <c r="K159" s="305"/>
      <c r="L159" s="664"/>
      <c r="M159" s="324"/>
      <c r="N159" s="325"/>
      <c r="O159" s="326"/>
      <c r="P159" s="306"/>
      <c r="Q159" s="327"/>
      <c r="R159" s="954"/>
      <c r="S159" s="922"/>
      <c r="T159" s="182"/>
      <c r="U159" s="253"/>
    </row>
    <row r="160" spans="1:35" ht="18" customHeight="1" thickBot="1">
      <c r="A160" s="1281"/>
      <c r="B160" s="564">
        <v>8</v>
      </c>
      <c r="C160" s="1129" t="s">
        <v>27</v>
      </c>
      <c r="D160" s="1140" t="s">
        <v>36</v>
      </c>
      <c r="E160" s="1130" t="s">
        <v>19</v>
      </c>
      <c r="F160" s="1141">
        <f t="shared" si="20"/>
        <v>50.4</v>
      </c>
      <c r="G160" s="1190">
        <v>72000</v>
      </c>
      <c r="H160" s="1132"/>
      <c r="I160" s="1138" t="s">
        <v>17</v>
      </c>
      <c r="J160" s="361">
        <f t="shared" si="21"/>
        <v>3628800</v>
      </c>
      <c r="K160" s="423"/>
      <c r="L160" s="665"/>
      <c r="M160" s="362"/>
      <c r="N160" s="368"/>
      <c r="O160" s="369"/>
      <c r="P160" s="363"/>
      <c r="Q160" s="364"/>
      <c r="R160" s="487">
        <v>144</v>
      </c>
      <c r="S160" s="488">
        <f>MMULT(R160,0.35)</f>
        <v>50.4</v>
      </c>
      <c r="T160" s="489"/>
      <c r="U160" s="490"/>
    </row>
    <row r="161" spans="1:21" ht="18" customHeight="1">
      <c r="A161" s="1263">
        <v>159</v>
      </c>
      <c r="B161" s="308" t="s">
        <v>24</v>
      </c>
      <c r="C161" s="540" t="s">
        <v>42</v>
      </c>
      <c r="D161" s="997" t="s">
        <v>38</v>
      </c>
      <c r="E161" s="429"/>
      <c r="F161" s="430">
        <f t="shared" si="20"/>
        <v>3.4129999999999998</v>
      </c>
      <c r="G161" s="265">
        <v>120000</v>
      </c>
      <c r="H161" s="477"/>
      <c r="I161" s="461" t="s">
        <v>17</v>
      </c>
      <c r="J161" s="141">
        <f t="shared" si="21"/>
        <v>409560</v>
      </c>
      <c r="K161" s="142"/>
      <c r="L161" s="666"/>
      <c r="M161" s="310"/>
      <c r="N161" s="267"/>
      <c r="O161" s="312"/>
      <c r="P161" s="269"/>
      <c r="Q161" s="316"/>
      <c r="R161" s="314"/>
      <c r="S161" s="339">
        <v>3.4129999999999998</v>
      </c>
      <c r="T161" s="242"/>
      <c r="U161" s="243"/>
    </row>
    <row r="162" spans="1:21" ht="18" customHeight="1">
      <c r="A162" s="1263"/>
      <c r="B162" s="307" t="s">
        <v>25</v>
      </c>
      <c r="C162" s="538" t="s">
        <v>42</v>
      </c>
      <c r="D162" s="991" t="s">
        <v>38</v>
      </c>
      <c r="E162" s="431"/>
      <c r="F162" s="749">
        <f>SUM(K162,M162,O162,Q162,S162)</f>
        <v>1.5349999999999999</v>
      </c>
      <c r="G162" s="624">
        <v>120000</v>
      </c>
      <c r="H162" s="493"/>
      <c r="I162" s="460" t="s">
        <v>17</v>
      </c>
      <c r="J162" s="159">
        <f>MMULT(F162,G162)</f>
        <v>184200</v>
      </c>
      <c r="K162" s="166"/>
      <c r="L162" s="667"/>
      <c r="M162" s="311"/>
      <c r="N162" s="125"/>
      <c r="O162" s="313"/>
      <c r="P162" s="126"/>
      <c r="Q162" s="317"/>
      <c r="R162" s="750">
        <v>7</v>
      </c>
      <c r="S162" s="751">
        <v>1.5349999999999999</v>
      </c>
      <c r="T162" s="127"/>
      <c r="U162" s="246"/>
    </row>
    <row r="163" spans="1:21" ht="18" customHeight="1">
      <c r="A163" s="1263"/>
      <c r="B163" s="307" t="s">
        <v>25</v>
      </c>
      <c r="C163" s="538" t="s">
        <v>203</v>
      </c>
      <c r="D163" s="991" t="s">
        <v>39</v>
      </c>
      <c r="E163" s="431"/>
      <c r="F163" s="749">
        <f>SUM(K163,M163,O163,Q163,S163)</f>
        <v>1.762</v>
      </c>
      <c r="G163" s="624">
        <v>70000</v>
      </c>
      <c r="H163" s="493" t="s">
        <v>140</v>
      </c>
      <c r="I163" s="460" t="s">
        <v>17</v>
      </c>
      <c r="J163" s="159">
        <f>MMULT(F163,G163)</f>
        <v>123340</v>
      </c>
      <c r="K163" s="166"/>
      <c r="L163" s="667"/>
      <c r="M163" s="311"/>
      <c r="N163" s="125"/>
      <c r="O163" s="313"/>
      <c r="P163" s="126"/>
      <c r="Q163" s="317"/>
      <c r="R163" s="750">
        <v>8</v>
      </c>
      <c r="S163" s="751">
        <v>1.762</v>
      </c>
      <c r="T163" s="127"/>
      <c r="U163" s="246"/>
    </row>
    <row r="164" spans="1:21" ht="18" customHeight="1" thickBot="1">
      <c r="A164" s="1263"/>
      <c r="B164" s="307" t="s">
        <v>25</v>
      </c>
      <c r="C164" s="538" t="s">
        <v>203</v>
      </c>
      <c r="D164" s="982" t="s">
        <v>39</v>
      </c>
      <c r="E164" s="431"/>
      <c r="F164" s="432">
        <f t="shared" si="20"/>
        <v>0.216</v>
      </c>
      <c r="G164" s="624">
        <v>65000</v>
      </c>
      <c r="H164" s="470">
        <v>9.2799999999999994</v>
      </c>
      <c r="I164" s="455" t="s">
        <v>17</v>
      </c>
      <c r="J164" s="159">
        <f>MMULT(F164,G164)</f>
        <v>14040</v>
      </c>
      <c r="K164" s="309"/>
      <c r="L164" s="667"/>
      <c r="M164" s="311"/>
      <c r="N164" s="125"/>
      <c r="O164" s="313"/>
      <c r="P164" s="126"/>
      <c r="Q164" s="317"/>
      <c r="R164" s="315">
        <v>1</v>
      </c>
      <c r="S164" s="340">
        <v>0.216</v>
      </c>
      <c r="T164" s="127"/>
      <c r="U164" s="246"/>
    </row>
    <row r="165" spans="1:21" ht="18" customHeight="1" thickBot="1">
      <c r="A165" s="1142">
        <v>146</v>
      </c>
      <c r="B165" s="367" t="s">
        <v>24</v>
      </c>
      <c r="C165" s="1143" t="s">
        <v>42</v>
      </c>
      <c r="D165" s="1144" t="s">
        <v>56</v>
      </c>
      <c r="E165" s="1145"/>
      <c r="F165" s="1146">
        <v>20</v>
      </c>
      <c r="G165" s="428">
        <v>125000</v>
      </c>
      <c r="H165" s="1147"/>
      <c r="I165" s="1148" t="s">
        <v>17</v>
      </c>
      <c r="J165" s="361">
        <f t="shared" si="21"/>
        <v>2500000</v>
      </c>
      <c r="K165" s="422"/>
      <c r="L165" s="665"/>
      <c r="M165" s="362"/>
      <c r="N165" s="368"/>
      <c r="O165" s="369"/>
      <c r="P165" s="363"/>
      <c r="Q165" s="364"/>
      <c r="R165" s="443">
        <v>1</v>
      </c>
      <c r="S165" s="392">
        <v>0.26600000000000001</v>
      </c>
      <c r="T165" s="365"/>
      <c r="U165" s="366"/>
    </row>
    <row r="166" spans="1:21" ht="18" customHeight="1" thickBot="1">
      <c r="A166" s="1282">
        <v>140</v>
      </c>
      <c r="B166" s="953" t="s">
        <v>22</v>
      </c>
      <c r="C166" s="544" t="s">
        <v>42</v>
      </c>
      <c r="D166" s="981" t="s">
        <v>56</v>
      </c>
      <c r="E166" s="429"/>
      <c r="F166" s="958">
        <v>2</v>
      </c>
      <c r="G166" s="957">
        <v>120000</v>
      </c>
      <c r="H166" s="476"/>
      <c r="I166" s="952" t="s">
        <v>17</v>
      </c>
      <c r="J166" s="361">
        <f t="shared" si="21"/>
        <v>240000</v>
      </c>
      <c r="K166" s="422"/>
      <c r="L166" s="665"/>
      <c r="M166" s="362"/>
      <c r="N166" s="368"/>
      <c r="O166" s="369"/>
      <c r="P166" s="363"/>
      <c r="Q166" s="364"/>
      <c r="R166" s="861"/>
      <c r="S166" s="392"/>
      <c r="T166" s="365"/>
      <c r="U166" s="366"/>
    </row>
    <row r="167" spans="1:21" ht="18" customHeight="1" thickBot="1">
      <c r="A167" s="1283"/>
      <c r="B167" s="564" t="s">
        <v>21</v>
      </c>
      <c r="C167" s="545" t="s">
        <v>42</v>
      </c>
      <c r="D167" s="987" t="s">
        <v>38</v>
      </c>
      <c r="E167" s="556"/>
      <c r="F167" s="557">
        <v>20</v>
      </c>
      <c r="G167" s="1190">
        <v>120000</v>
      </c>
      <c r="H167" s="507" t="s">
        <v>221</v>
      </c>
      <c r="I167" s="558" t="s">
        <v>17</v>
      </c>
      <c r="J167" s="361"/>
      <c r="K167" s="422"/>
      <c r="L167" s="665"/>
      <c r="M167" s="362"/>
      <c r="N167" s="368"/>
      <c r="O167" s="369"/>
      <c r="P167" s="363"/>
      <c r="Q167" s="364"/>
      <c r="R167" s="861"/>
      <c r="S167" s="392"/>
      <c r="T167" s="365"/>
      <c r="U167" s="366"/>
    </row>
    <row r="168" spans="1:21" ht="18" customHeight="1">
      <c r="A168" s="1270">
        <v>114</v>
      </c>
      <c r="B168" s="804" t="s">
        <v>24</v>
      </c>
      <c r="C168" s="1112" t="s">
        <v>42</v>
      </c>
      <c r="D168" s="1079" t="s">
        <v>38</v>
      </c>
      <c r="E168" s="1149"/>
      <c r="F168" s="1150">
        <f t="shared" si="20"/>
        <v>16.7</v>
      </c>
      <c r="G168" s="624">
        <v>130000</v>
      </c>
      <c r="H168" s="1080"/>
      <c r="I168" s="1151" t="s">
        <v>17</v>
      </c>
      <c r="J168" s="159">
        <f t="shared" si="21"/>
        <v>2171000</v>
      </c>
      <c r="K168" s="309"/>
      <c r="L168" s="667"/>
      <c r="M168" s="805"/>
      <c r="N168" s="126"/>
      <c r="O168" s="627"/>
      <c r="P168" s="125"/>
      <c r="Q168" s="806"/>
      <c r="R168" s="629"/>
      <c r="S168" s="807">
        <v>16.7</v>
      </c>
      <c r="T168" s="808"/>
      <c r="U168" s="246"/>
    </row>
    <row r="169" spans="1:21" ht="18" customHeight="1">
      <c r="A169" s="1270"/>
      <c r="B169" s="804" t="s">
        <v>22</v>
      </c>
      <c r="C169" s="1112" t="s">
        <v>42</v>
      </c>
      <c r="D169" s="1079" t="s">
        <v>53</v>
      </c>
      <c r="E169" s="1149">
        <f t="shared" ref="E169:E180" si="22">SUM(R169,P169,N169,L169)</f>
        <v>10</v>
      </c>
      <c r="F169" s="1150">
        <f t="shared" si="20"/>
        <v>1.75</v>
      </c>
      <c r="G169" s="624">
        <v>125000</v>
      </c>
      <c r="H169" s="1080"/>
      <c r="I169" s="1151" t="s">
        <v>17</v>
      </c>
      <c r="J169" s="159">
        <f t="shared" si="21"/>
        <v>218750</v>
      </c>
      <c r="K169" s="309"/>
      <c r="L169" s="667"/>
      <c r="M169" s="805"/>
      <c r="N169" s="126"/>
      <c r="O169" s="627"/>
      <c r="P169" s="125"/>
      <c r="Q169" s="806"/>
      <c r="R169" s="629">
        <v>10</v>
      </c>
      <c r="S169" s="807">
        <v>1.75</v>
      </c>
      <c r="T169" s="808"/>
      <c r="U169" s="246"/>
    </row>
    <row r="170" spans="1:21" ht="18" customHeight="1">
      <c r="A170" s="1270"/>
      <c r="B170" s="768" t="s">
        <v>25</v>
      </c>
      <c r="C170" s="1125" t="s">
        <v>42</v>
      </c>
      <c r="D170" s="1073" t="s">
        <v>38</v>
      </c>
      <c r="E170" s="1152">
        <f>SUM(R170,P170,N170,L170)</f>
        <v>7</v>
      </c>
      <c r="F170" s="1153">
        <f>SUM(K170,M170,O170,Q170,S170)</f>
        <v>0.95399999999999996</v>
      </c>
      <c r="G170" s="265">
        <v>125000</v>
      </c>
      <c r="H170" s="1128"/>
      <c r="I170" s="1137" t="s">
        <v>17</v>
      </c>
      <c r="J170" s="141">
        <f>MMULT(F170,G170)</f>
        <v>119250</v>
      </c>
      <c r="K170" s="218"/>
      <c r="L170" s="666"/>
      <c r="M170" s="770"/>
      <c r="N170" s="269"/>
      <c r="O170" s="270"/>
      <c r="P170" s="267"/>
      <c r="Q170" s="271"/>
      <c r="R170" s="341">
        <v>7</v>
      </c>
      <c r="S170" s="771">
        <v>0.95399999999999996</v>
      </c>
      <c r="T170" s="772"/>
      <c r="U170" s="243"/>
    </row>
    <row r="171" spans="1:21" ht="18" customHeight="1" thickBot="1">
      <c r="A171" s="1271"/>
      <c r="B171" s="564" t="s">
        <v>88</v>
      </c>
      <c r="C171" s="1129" t="s">
        <v>42</v>
      </c>
      <c r="D171" s="1097" t="s">
        <v>39</v>
      </c>
      <c r="E171" s="1154"/>
      <c r="F171" s="1155">
        <f>SUM(K171,M171,O171,Q171,S171)</f>
        <v>4.4000000000000004</v>
      </c>
      <c r="G171" s="1190">
        <v>125000</v>
      </c>
      <c r="H171" s="1132"/>
      <c r="I171" s="1138" t="s">
        <v>17</v>
      </c>
      <c r="J171" s="215">
        <f t="shared" si="21"/>
        <v>550000</v>
      </c>
      <c r="K171" s="559"/>
      <c r="L171" s="668"/>
      <c r="M171" s="560"/>
      <c r="N171" s="115"/>
      <c r="O171" s="116"/>
      <c r="P171" s="77"/>
      <c r="Q171" s="118"/>
      <c r="R171" s="561"/>
      <c r="S171" s="565">
        <v>4.4000000000000004</v>
      </c>
      <c r="T171" s="562"/>
      <c r="U171" s="563"/>
    </row>
    <row r="172" spans="1:21" ht="18" customHeight="1" thickBot="1">
      <c r="A172" s="360">
        <v>108</v>
      </c>
      <c r="B172" s="367" t="s">
        <v>185</v>
      </c>
      <c r="C172" s="549" t="s">
        <v>203</v>
      </c>
      <c r="D172" s="998" t="s">
        <v>38</v>
      </c>
      <c r="E172" s="433"/>
      <c r="F172" s="434">
        <f>SUM(K172,M172,O172,Q172,S172)</f>
        <v>4.3099999999999996</v>
      </c>
      <c r="G172" s="428">
        <v>65000</v>
      </c>
      <c r="H172" s="479"/>
      <c r="I172" s="463" t="s">
        <v>17</v>
      </c>
      <c r="J172" s="361">
        <f t="shared" si="21"/>
        <v>280150</v>
      </c>
      <c r="K172" s="422"/>
      <c r="L172" s="665"/>
      <c r="M172" s="362"/>
      <c r="N172" s="368"/>
      <c r="O172" s="369"/>
      <c r="P172" s="363"/>
      <c r="Q172" s="364"/>
      <c r="R172" s="861"/>
      <c r="S172" s="862">
        <v>4.3099999999999996</v>
      </c>
      <c r="T172" s="365"/>
      <c r="U172" s="366"/>
    </row>
    <row r="173" spans="1:21" ht="18" customHeight="1" thickBot="1">
      <c r="A173" s="1259">
        <v>89</v>
      </c>
      <c r="B173" s="555">
        <v>8</v>
      </c>
      <c r="C173" s="1102" t="s">
        <v>42</v>
      </c>
      <c r="D173" s="1156" t="s">
        <v>39</v>
      </c>
      <c r="E173" s="1157">
        <f t="shared" si="22"/>
        <v>1</v>
      </c>
      <c r="F173" s="1158">
        <f t="shared" si="20"/>
        <v>0.184</v>
      </c>
      <c r="G173" s="424">
        <v>125000</v>
      </c>
      <c r="H173" s="1108" t="s">
        <v>28</v>
      </c>
      <c r="I173" s="1159" t="s">
        <v>17</v>
      </c>
      <c r="J173" s="153">
        <f t="shared" si="21"/>
        <v>23000</v>
      </c>
      <c r="K173" s="421"/>
      <c r="L173" s="669"/>
      <c r="M173" s="400"/>
      <c r="N173" s="404"/>
      <c r="O173" s="405"/>
      <c r="P173" s="47"/>
      <c r="Q173" s="386"/>
      <c r="R173" s="393">
        <v>1</v>
      </c>
      <c r="S173" s="291">
        <v>0.184</v>
      </c>
      <c r="T173" s="389"/>
      <c r="U173" s="72"/>
    </row>
    <row r="174" spans="1:21" ht="18" customHeight="1" thickBot="1">
      <c r="A174" s="1259"/>
      <c r="B174" s="923" t="s">
        <v>25</v>
      </c>
      <c r="C174" s="1102" t="s">
        <v>42</v>
      </c>
      <c r="D174" s="1160" t="s">
        <v>38</v>
      </c>
      <c r="E174" s="1161"/>
      <c r="F174" s="1162">
        <v>2.93</v>
      </c>
      <c r="G174" s="328">
        <v>125000</v>
      </c>
      <c r="H174" s="1120"/>
      <c r="I174" s="1163" t="s">
        <v>17</v>
      </c>
      <c r="J174" s="153"/>
      <c r="K174" s="305"/>
      <c r="L174" s="669"/>
      <c r="M174" s="400"/>
      <c r="N174" s="404"/>
      <c r="O174" s="405"/>
      <c r="P174" s="47"/>
      <c r="Q174" s="386"/>
      <c r="R174" s="393"/>
      <c r="S174" s="291"/>
      <c r="T174" s="389"/>
      <c r="U174" s="72"/>
    </row>
    <row r="175" spans="1:21" ht="18" customHeight="1" thickBot="1">
      <c r="A175" s="1259"/>
      <c r="B175" s="768" t="s">
        <v>25</v>
      </c>
      <c r="C175" s="1102" t="s">
        <v>42</v>
      </c>
      <c r="D175" s="1164" t="s">
        <v>56</v>
      </c>
      <c r="E175" s="1152"/>
      <c r="F175" s="1165">
        <v>2.6160000000000001</v>
      </c>
      <c r="G175" s="265">
        <v>135000</v>
      </c>
      <c r="H175" s="1128"/>
      <c r="I175" s="1137" t="s">
        <v>17</v>
      </c>
      <c r="J175" s="153"/>
      <c r="K175" s="305"/>
      <c r="L175" s="669"/>
      <c r="M175" s="400"/>
      <c r="N175" s="404"/>
      <c r="O175" s="405"/>
      <c r="P175" s="47"/>
      <c r="Q175" s="386"/>
      <c r="R175" s="393"/>
      <c r="S175" s="291"/>
      <c r="T175" s="389"/>
      <c r="U175" s="72"/>
    </row>
    <row r="176" spans="1:21" ht="18" customHeight="1" thickBot="1">
      <c r="A176" s="1260"/>
      <c r="B176" s="383">
        <v>4</v>
      </c>
      <c r="C176" s="1166" t="s">
        <v>42</v>
      </c>
      <c r="D176" s="1167" t="s">
        <v>39</v>
      </c>
      <c r="E176" s="1168">
        <f t="shared" si="22"/>
        <v>1</v>
      </c>
      <c r="F176" s="1169">
        <f t="shared" si="20"/>
        <v>9.6000000000000002E-2</v>
      </c>
      <c r="G176" s="425">
        <v>125000</v>
      </c>
      <c r="H176" s="1170"/>
      <c r="I176" s="1159" t="s">
        <v>17</v>
      </c>
      <c r="J176" s="153">
        <f t="shared" si="21"/>
        <v>12000</v>
      </c>
      <c r="K176" s="305"/>
      <c r="L176" s="669"/>
      <c r="M176" s="400"/>
      <c r="N176" s="404"/>
      <c r="O176" s="405"/>
      <c r="P176" s="47"/>
      <c r="Q176" s="386"/>
      <c r="R176" s="393">
        <v>1</v>
      </c>
      <c r="S176" s="291">
        <v>9.6000000000000002E-2</v>
      </c>
      <c r="T176" s="389"/>
      <c r="U176" s="72"/>
    </row>
    <row r="177" spans="1:21" ht="18" customHeight="1" thickBot="1">
      <c r="A177" s="481">
        <v>76</v>
      </c>
      <c r="B177" s="383">
        <v>3</v>
      </c>
      <c r="C177" s="550" t="s">
        <v>203</v>
      </c>
      <c r="D177" s="999" t="s">
        <v>46</v>
      </c>
      <c r="E177" s="435">
        <f t="shared" si="22"/>
        <v>2</v>
      </c>
      <c r="F177" s="436">
        <f t="shared" si="20"/>
        <v>0.115</v>
      </c>
      <c r="G177" s="425">
        <v>50000</v>
      </c>
      <c r="H177" s="480" t="s">
        <v>29</v>
      </c>
      <c r="I177" s="464" t="s">
        <v>17</v>
      </c>
      <c r="J177" s="46">
        <f t="shared" si="21"/>
        <v>5750</v>
      </c>
      <c r="K177" s="204"/>
      <c r="L177" s="670"/>
      <c r="M177" s="401"/>
      <c r="N177" s="406"/>
      <c r="O177" s="407"/>
      <c r="P177" s="48"/>
      <c r="Q177" s="387"/>
      <c r="R177" s="394">
        <v>2</v>
      </c>
      <c r="S177" s="395">
        <v>0.115</v>
      </c>
      <c r="T177" s="390"/>
      <c r="U177" s="73"/>
    </row>
    <row r="178" spans="1:21" ht="18" customHeight="1" thickBot="1">
      <c r="A178" s="1171">
        <v>48</v>
      </c>
      <c r="B178" s="384">
        <v>4</v>
      </c>
      <c r="C178" s="1172" t="s">
        <v>137</v>
      </c>
      <c r="D178" s="1173"/>
      <c r="E178" s="1174">
        <f t="shared" si="22"/>
        <v>42</v>
      </c>
      <c r="F178" s="1175">
        <f t="shared" si="20"/>
        <v>1.76</v>
      </c>
      <c r="G178" s="426">
        <v>50000</v>
      </c>
      <c r="H178" s="1176" t="s">
        <v>136</v>
      </c>
      <c r="I178" s="1177" t="s">
        <v>17</v>
      </c>
      <c r="J178" s="46">
        <f t="shared" si="21"/>
        <v>88000</v>
      </c>
      <c r="K178" s="205"/>
      <c r="L178" s="670"/>
      <c r="M178" s="402"/>
      <c r="N178" s="406"/>
      <c r="O178" s="407"/>
      <c r="P178" s="48"/>
      <c r="Q178" s="387"/>
      <c r="R178" s="394">
        <v>42</v>
      </c>
      <c r="S178" s="396">
        <v>1.76</v>
      </c>
      <c r="T178" s="390"/>
      <c r="U178" s="74"/>
    </row>
    <row r="179" spans="1:21" ht="18" customHeight="1" thickBot="1">
      <c r="A179" s="482">
        <v>42</v>
      </c>
      <c r="B179" s="385" t="s">
        <v>58</v>
      </c>
      <c r="C179" s="551" t="s">
        <v>138</v>
      </c>
      <c r="D179" s="1000"/>
      <c r="E179" s="437">
        <f t="shared" si="22"/>
        <v>42</v>
      </c>
      <c r="F179" s="438">
        <f t="shared" si="20"/>
        <v>1.3109999999999999</v>
      </c>
      <c r="G179" s="427">
        <v>50000</v>
      </c>
      <c r="H179" s="483" t="s">
        <v>135</v>
      </c>
      <c r="I179" s="465" t="s">
        <v>17</v>
      </c>
      <c r="J179" s="377">
        <f t="shared" si="21"/>
        <v>65550</v>
      </c>
      <c r="K179" s="376"/>
      <c r="L179" s="671"/>
      <c r="M179" s="403"/>
      <c r="N179" s="408"/>
      <c r="O179" s="409"/>
      <c r="P179" s="378"/>
      <c r="Q179" s="388"/>
      <c r="R179" s="397">
        <v>42</v>
      </c>
      <c r="S179" s="398">
        <v>1.3109999999999999</v>
      </c>
      <c r="T179" s="391"/>
      <c r="U179" s="379"/>
    </row>
    <row r="180" spans="1:21" ht="18" customHeight="1" thickBot="1">
      <c r="A180" s="1178">
        <v>25</v>
      </c>
      <c r="B180" s="367" t="s">
        <v>64</v>
      </c>
      <c r="C180" s="1143" t="s">
        <v>203</v>
      </c>
      <c r="D180" s="1179"/>
      <c r="E180" s="1145">
        <f t="shared" si="22"/>
        <v>21</v>
      </c>
      <c r="F180" s="1180">
        <f t="shared" si="20"/>
        <v>0.23699999999999999</v>
      </c>
      <c r="G180" s="428">
        <v>60000</v>
      </c>
      <c r="H180" s="1147"/>
      <c r="I180" s="1148" t="s">
        <v>17</v>
      </c>
      <c r="J180" s="361">
        <f t="shared" si="21"/>
        <v>14220</v>
      </c>
      <c r="K180" s="423"/>
      <c r="L180" s="665"/>
      <c r="M180" s="439"/>
      <c r="N180" s="410"/>
      <c r="O180" s="440"/>
      <c r="P180" s="380"/>
      <c r="Q180" s="441"/>
      <c r="R180" s="399">
        <v>21</v>
      </c>
      <c r="S180" s="442">
        <v>0.23699999999999999</v>
      </c>
      <c r="T180" s="381"/>
      <c r="U180" s="382"/>
    </row>
    <row r="181" spans="1:21" ht="18.75">
      <c r="B181" s="98"/>
      <c r="F181" s="65">
        <f>SUM(F9:F180)</f>
        <v>2973.088999999999</v>
      </c>
      <c r="G181" s="58"/>
      <c r="H181" s="59"/>
      <c r="I181" s="60"/>
      <c r="J181" s="61">
        <f>SUM(J9:J180)</f>
        <v>103936052</v>
      </c>
      <c r="K181" s="96">
        <f>SUM(K9:K180)</f>
        <v>0</v>
      </c>
      <c r="L181" s="672"/>
      <c r="M181" s="62">
        <f>SUM(M9:M180)</f>
        <v>0</v>
      </c>
      <c r="N181" s="62"/>
      <c r="O181" s="63">
        <f>SUM(O9:O180)</f>
        <v>81</v>
      </c>
      <c r="P181" s="62"/>
      <c r="Q181" s="63">
        <f>SUM(Q9:Q180)</f>
        <v>0</v>
      </c>
      <c r="R181" s="62"/>
      <c r="S181" s="64">
        <f>SUM(S9:S180)</f>
        <v>909.39499999999998</v>
      </c>
      <c r="U181" s="75">
        <f>SUM(K181:T181)</f>
        <v>990.39499999999998</v>
      </c>
    </row>
    <row r="182" spans="1:21" ht="16.5" thickBot="1">
      <c r="F182" s="57"/>
      <c r="G182" s="58"/>
      <c r="H182" s="59"/>
      <c r="I182" s="60"/>
      <c r="K182" s="621"/>
      <c r="L182" s="775">
        <v>1700000</v>
      </c>
      <c r="M182" s="678"/>
      <c r="N182" s="679"/>
      <c r="O182" s="679" t="s">
        <v>186</v>
      </c>
      <c r="P182" s="674"/>
      <c r="Q182" s="613"/>
      <c r="R182" s="62"/>
      <c r="S182" s="64"/>
    </row>
    <row r="183" spans="1:21" ht="22.5" customHeight="1" thickBot="1">
      <c r="C183" s="1265" t="s">
        <v>95</v>
      </c>
      <c r="D183" s="1266"/>
      <c r="E183" s="1266"/>
      <c r="F183" s="1266"/>
      <c r="G183" s="1266"/>
      <c r="H183" s="1266"/>
      <c r="I183" s="1267"/>
      <c r="J183" s="754"/>
      <c r="L183" s="775">
        <v>1950000</v>
      </c>
      <c r="M183" s="678"/>
      <c r="N183" s="679"/>
      <c r="O183" s="679" t="s">
        <v>172</v>
      </c>
      <c r="P183" s="674"/>
      <c r="Q183" s="613"/>
    </row>
    <row r="184" spans="1:21" ht="15.75" customHeight="1">
      <c r="C184" s="1261" t="s">
        <v>47</v>
      </c>
      <c r="D184" s="1261" t="s">
        <v>96</v>
      </c>
      <c r="E184" s="1261" t="s">
        <v>35</v>
      </c>
      <c r="F184" s="1293" t="s">
        <v>45</v>
      </c>
      <c r="G184" s="1294"/>
      <c r="H184" s="1268" t="s">
        <v>111</v>
      </c>
      <c r="I184" s="1268" t="s">
        <v>8</v>
      </c>
      <c r="J184" s="754"/>
      <c r="K184" s="717"/>
      <c r="L184" s="775">
        <v>1200000</v>
      </c>
      <c r="M184" s="683"/>
      <c r="N184" s="679"/>
      <c r="O184" s="680" t="s">
        <v>187</v>
      </c>
      <c r="P184" s="674"/>
      <c r="Q184" s="613"/>
    </row>
    <row r="185" spans="1:21" ht="30.75" customHeight="1" thickBot="1">
      <c r="C185" s="1262"/>
      <c r="D185" s="1262"/>
      <c r="E185" s="1262"/>
      <c r="F185" s="818" t="s">
        <v>16</v>
      </c>
      <c r="G185" s="819" t="s">
        <v>15</v>
      </c>
      <c r="H185" s="1269"/>
      <c r="I185" s="1269"/>
      <c r="J185" s="754"/>
      <c r="K185" s="879">
        <v>45261</v>
      </c>
      <c r="L185" s="775">
        <v>4800000</v>
      </c>
      <c r="M185" s="683"/>
      <c r="N185" s="679"/>
      <c r="O185" s="680" t="s">
        <v>72</v>
      </c>
      <c r="P185" s="674"/>
      <c r="Q185" s="613"/>
    </row>
    <row r="186" spans="1:21" s="617" customFormat="1" ht="18" customHeight="1">
      <c r="A186" s="611"/>
      <c r="B186" s="612"/>
      <c r="C186" s="863" t="s">
        <v>131</v>
      </c>
      <c r="D186" s="864" t="s">
        <v>153</v>
      </c>
      <c r="E186" s="675"/>
      <c r="F186" s="865">
        <v>7</v>
      </c>
      <c r="G186" s="866">
        <v>4.1909999999999998</v>
      </c>
      <c r="H186" s="816">
        <v>75000</v>
      </c>
      <c r="I186" s="817" t="s">
        <v>93</v>
      </c>
      <c r="J186" s="880">
        <f t="shared" ref="J186:J203" si="23">MMULT(G186,H186)</f>
        <v>314325</v>
      </c>
      <c r="K186" s="881">
        <v>94400</v>
      </c>
      <c r="L186" s="823"/>
      <c r="M186" s="682"/>
      <c r="N186" s="1290">
        <f>SUM(L182:M185)</f>
        <v>9650000</v>
      </c>
      <c r="O186" s="1291"/>
      <c r="P186" s="613"/>
      <c r="Q186" s="618"/>
      <c r="R186" s="613"/>
      <c r="S186" s="614"/>
      <c r="T186" s="615"/>
      <c r="U186" s="616"/>
    </row>
    <row r="187" spans="1:21" s="617" customFormat="1" ht="15.75" customHeight="1">
      <c r="A187" s="611"/>
      <c r="B187" s="612"/>
      <c r="C187" s="676" t="s">
        <v>143</v>
      </c>
      <c r="D187" s="755" t="s">
        <v>100</v>
      </c>
      <c r="E187" s="714"/>
      <c r="F187" s="711">
        <v>1</v>
      </c>
      <c r="G187" s="756">
        <v>0.60199999999999998</v>
      </c>
      <c r="H187" s="620">
        <v>120000</v>
      </c>
      <c r="I187" s="867" t="s">
        <v>93</v>
      </c>
      <c r="J187" s="880">
        <f t="shared" si="23"/>
        <v>72240</v>
      </c>
      <c r="K187" s="881">
        <v>135900</v>
      </c>
      <c r="L187" s="823"/>
      <c r="M187" s="1292">
        <f>SUM(J181,L182:M185)</f>
        <v>113586052</v>
      </c>
      <c r="N187" s="1292"/>
      <c r="O187" s="1292"/>
      <c r="P187" s="1292"/>
      <c r="Q187" s="618"/>
      <c r="R187" s="613"/>
      <c r="S187" s="614"/>
      <c r="T187" s="615"/>
      <c r="U187" s="616"/>
    </row>
    <row r="188" spans="1:21" s="617" customFormat="1" ht="18.75" customHeight="1">
      <c r="A188" s="611"/>
      <c r="B188" s="612"/>
      <c r="C188" s="863" t="s">
        <v>132</v>
      </c>
      <c r="D188" s="864" t="s">
        <v>153</v>
      </c>
      <c r="E188" s="675"/>
      <c r="F188" s="865">
        <v>2</v>
      </c>
      <c r="G188" s="866">
        <v>1.3640000000000001</v>
      </c>
      <c r="H188" s="816">
        <v>75000</v>
      </c>
      <c r="I188" s="817" t="s">
        <v>93</v>
      </c>
      <c r="J188" s="880">
        <f t="shared" si="23"/>
        <v>102300.00000000001</v>
      </c>
      <c r="K188" s="881">
        <v>86100</v>
      </c>
      <c r="L188" s="823"/>
      <c r="M188" s="752"/>
      <c r="N188" s="752"/>
      <c r="O188" s="752"/>
      <c r="P188" s="752"/>
      <c r="Q188" s="618"/>
      <c r="R188" s="613"/>
      <c r="S188" s="614"/>
      <c r="T188" s="615"/>
      <c r="U188" s="616"/>
    </row>
    <row r="189" spans="1:21" s="617" customFormat="1" ht="20.25" customHeight="1">
      <c r="A189" s="611"/>
      <c r="B189" s="612"/>
      <c r="C189" s="863" t="s">
        <v>112</v>
      </c>
      <c r="D189" s="755" t="s">
        <v>100</v>
      </c>
      <c r="E189" s="675" t="s">
        <v>76</v>
      </c>
      <c r="F189" s="865">
        <v>1</v>
      </c>
      <c r="G189" s="866">
        <v>0.65700000000000003</v>
      </c>
      <c r="H189" s="869">
        <v>112000</v>
      </c>
      <c r="I189" s="619" t="s">
        <v>102</v>
      </c>
      <c r="J189" s="880">
        <f t="shared" si="23"/>
        <v>73584</v>
      </c>
      <c r="K189" s="881">
        <v>126630</v>
      </c>
      <c r="L189" s="824"/>
      <c r="R189" s="613"/>
      <c r="S189" s="614"/>
      <c r="T189" s="615"/>
      <c r="U189" s="616"/>
    </row>
    <row r="190" spans="1:21" s="617" customFormat="1" ht="20.25" customHeight="1">
      <c r="A190" s="611"/>
      <c r="B190" s="612"/>
      <c r="C190" s="868" t="s">
        <v>154</v>
      </c>
      <c r="D190" s="757" t="s">
        <v>153</v>
      </c>
      <c r="E190" s="758">
        <v>345</v>
      </c>
      <c r="F190" s="814">
        <v>3</v>
      </c>
      <c r="G190" s="815">
        <v>2</v>
      </c>
      <c r="H190" s="816">
        <v>81000</v>
      </c>
      <c r="I190" s="817" t="s">
        <v>93</v>
      </c>
      <c r="J190" s="880"/>
      <c r="K190" s="882">
        <v>92000</v>
      </c>
      <c r="L190" s="824"/>
      <c r="R190" s="613"/>
      <c r="S190" s="614"/>
      <c r="T190" s="615"/>
      <c r="U190" s="616"/>
    </row>
    <row r="191" spans="1:21" s="617" customFormat="1" ht="18" customHeight="1">
      <c r="A191" s="611"/>
      <c r="B191" s="612"/>
      <c r="C191" s="677" t="s">
        <v>113</v>
      </c>
      <c r="D191" s="755" t="s">
        <v>155</v>
      </c>
      <c r="E191" s="715" t="s">
        <v>104</v>
      </c>
      <c r="F191" s="712">
        <v>2</v>
      </c>
      <c r="G191" s="759">
        <v>6.9</v>
      </c>
      <c r="H191" s="620">
        <v>96000</v>
      </c>
      <c r="I191" s="867" t="s">
        <v>93</v>
      </c>
      <c r="J191" s="880">
        <f t="shared" si="23"/>
        <v>662400</v>
      </c>
      <c r="K191" s="883">
        <v>114600</v>
      </c>
      <c r="L191" s="824"/>
      <c r="R191" s="613"/>
      <c r="S191" s="614"/>
      <c r="T191" s="615"/>
      <c r="U191" s="616"/>
    </row>
    <row r="192" spans="1:21" s="617" customFormat="1" ht="15" customHeight="1">
      <c r="A192" s="611"/>
      <c r="B192" s="612"/>
      <c r="C192" s="870" t="s">
        <v>119</v>
      </c>
      <c r="D192" s="755" t="s">
        <v>153</v>
      </c>
      <c r="E192" s="716" t="s">
        <v>101</v>
      </c>
      <c r="F192" s="871">
        <v>2</v>
      </c>
      <c r="G192" s="872">
        <v>0.64100000000000001</v>
      </c>
      <c r="H192" s="873">
        <v>65000</v>
      </c>
      <c r="I192" s="867" t="s">
        <v>55</v>
      </c>
      <c r="J192" s="880">
        <f t="shared" si="23"/>
        <v>41665</v>
      </c>
      <c r="K192" s="883">
        <v>85100</v>
      </c>
      <c r="L192" s="824"/>
      <c r="R192" s="613"/>
      <c r="S192" s="614"/>
      <c r="T192" s="615"/>
      <c r="U192" s="616"/>
    </row>
    <row r="193" spans="1:35" s="617" customFormat="1" ht="15.75" customHeight="1">
      <c r="A193" s="611"/>
      <c r="B193" s="612"/>
      <c r="C193" s="868" t="s">
        <v>165</v>
      </c>
      <c r="D193" s="757" t="s">
        <v>153</v>
      </c>
      <c r="E193" s="758" t="s">
        <v>166</v>
      </c>
      <c r="F193" s="814">
        <v>2</v>
      </c>
      <c r="G193" s="815">
        <v>1.95</v>
      </c>
      <c r="H193" s="816">
        <v>80000</v>
      </c>
      <c r="I193" s="817" t="s">
        <v>93</v>
      </c>
      <c r="J193" s="880"/>
      <c r="K193" s="883">
        <v>92000</v>
      </c>
      <c r="L193" s="824"/>
      <c r="R193" s="613"/>
      <c r="S193" s="614"/>
      <c r="T193" s="615"/>
      <c r="U193" s="616"/>
    </row>
    <row r="194" spans="1:35">
      <c r="C194" s="874" t="s">
        <v>114</v>
      </c>
      <c r="D194" s="875" t="s">
        <v>153</v>
      </c>
      <c r="E194" s="713" t="s">
        <v>99</v>
      </c>
      <c r="F194" s="876">
        <v>11</v>
      </c>
      <c r="G194" s="877">
        <v>18.268999999999998</v>
      </c>
      <c r="H194" s="620">
        <v>85000</v>
      </c>
      <c r="I194" s="867" t="s">
        <v>93</v>
      </c>
      <c r="J194" s="880"/>
      <c r="K194" s="884">
        <v>95900</v>
      </c>
      <c r="L194" s="825"/>
      <c r="M194" s="673"/>
      <c r="N194" s="673"/>
      <c r="O194" s="673"/>
      <c r="Q194" s="120"/>
    </row>
    <row r="195" spans="1:35">
      <c r="C195" s="874" t="s">
        <v>220</v>
      </c>
      <c r="D195" s="1224" t="s">
        <v>153</v>
      </c>
      <c r="E195" s="713" t="s">
        <v>99</v>
      </c>
      <c r="F195" s="876">
        <v>4</v>
      </c>
      <c r="G195" s="877">
        <v>7.4930000000000003</v>
      </c>
      <c r="H195" s="620">
        <v>85000</v>
      </c>
      <c r="I195" s="867" t="s">
        <v>93</v>
      </c>
      <c r="J195" s="880"/>
      <c r="K195" s="884"/>
      <c r="L195" s="825"/>
      <c r="M195" s="673"/>
      <c r="N195" s="673"/>
      <c r="O195" s="673"/>
      <c r="Q195" s="120"/>
    </row>
    <row r="196" spans="1:35">
      <c r="C196" s="874" t="s">
        <v>120</v>
      </c>
      <c r="D196" s="875" t="s">
        <v>103</v>
      </c>
      <c r="E196" s="713" t="s">
        <v>99</v>
      </c>
      <c r="F196" s="876">
        <v>61</v>
      </c>
      <c r="G196" s="877">
        <v>70</v>
      </c>
      <c r="H196" s="620">
        <v>79000</v>
      </c>
      <c r="I196" s="867" t="s">
        <v>93</v>
      </c>
      <c r="J196" s="880"/>
      <c r="K196" s="884"/>
      <c r="L196" s="825"/>
      <c r="M196" s="673"/>
      <c r="N196" s="673"/>
      <c r="O196" s="673"/>
      <c r="Q196" s="120"/>
    </row>
    <row r="197" spans="1:35">
      <c r="C197" s="676" t="s">
        <v>120</v>
      </c>
      <c r="D197" s="755" t="s">
        <v>153</v>
      </c>
      <c r="E197" s="714" t="s">
        <v>98</v>
      </c>
      <c r="F197" s="711">
        <v>2</v>
      </c>
      <c r="G197" s="756">
        <v>3.2879999999999998</v>
      </c>
      <c r="H197" s="620">
        <v>92000</v>
      </c>
      <c r="I197" s="867" t="s">
        <v>93</v>
      </c>
      <c r="J197" s="885">
        <f t="shared" si="23"/>
        <v>302496</v>
      </c>
      <c r="K197" s="884">
        <v>104500</v>
      </c>
      <c r="L197" s="825"/>
      <c r="Q197" s="120"/>
    </row>
    <row r="198" spans="1:35">
      <c r="C198" s="676" t="s">
        <v>182</v>
      </c>
      <c r="D198" s="813" t="s">
        <v>153</v>
      </c>
      <c r="E198" s="714" t="s">
        <v>101</v>
      </c>
      <c r="F198" s="810">
        <v>7</v>
      </c>
      <c r="G198" s="811">
        <v>14.34</v>
      </c>
      <c r="H198" s="809">
        <v>82000</v>
      </c>
      <c r="I198" s="812" t="s">
        <v>93</v>
      </c>
      <c r="J198" s="885">
        <f t="shared" si="23"/>
        <v>1175880</v>
      </c>
      <c r="K198" s="884">
        <v>98600</v>
      </c>
      <c r="L198" s="825"/>
      <c r="Q198" s="120"/>
    </row>
    <row r="199" spans="1:35">
      <c r="C199" s="878" t="s">
        <v>156</v>
      </c>
      <c r="D199" s="757" t="s">
        <v>153</v>
      </c>
      <c r="E199" s="758">
        <v>355</v>
      </c>
      <c r="F199" s="814">
        <v>4</v>
      </c>
      <c r="G199" s="815">
        <v>7.3</v>
      </c>
      <c r="H199" s="873">
        <v>77000</v>
      </c>
      <c r="I199" s="867" t="s">
        <v>93</v>
      </c>
      <c r="J199" s="885"/>
      <c r="K199" s="884">
        <v>99400</v>
      </c>
      <c r="L199" s="825"/>
      <c r="AI199" t="s">
        <v>54</v>
      </c>
    </row>
    <row r="200" spans="1:35" ht="17.25" customHeight="1">
      <c r="C200" s="870" t="s">
        <v>115</v>
      </c>
      <c r="D200" s="755" t="s">
        <v>153</v>
      </c>
      <c r="E200" s="716" t="s">
        <v>101</v>
      </c>
      <c r="F200" s="871">
        <v>1</v>
      </c>
      <c r="G200" s="872">
        <v>0.77400000000000002</v>
      </c>
      <c r="H200" s="620">
        <v>66000</v>
      </c>
      <c r="I200" s="867" t="s">
        <v>142</v>
      </c>
      <c r="J200" s="886">
        <f t="shared" si="23"/>
        <v>51084</v>
      </c>
      <c r="K200" s="884">
        <v>97300</v>
      </c>
      <c r="L200" s="825"/>
    </row>
    <row r="201" spans="1:35">
      <c r="C201" s="870" t="s">
        <v>130</v>
      </c>
      <c r="D201" s="755" t="s">
        <v>153</v>
      </c>
      <c r="E201" s="716" t="s">
        <v>98</v>
      </c>
      <c r="F201" s="871">
        <v>4</v>
      </c>
      <c r="G201" s="872">
        <v>9.1389999999999993</v>
      </c>
      <c r="H201" s="620">
        <v>90000</v>
      </c>
      <c r="I201" s="867" t="s">
        <v>93</v>
      </c>
      <c r="J201" s="886">
        <f t="shared" si="23"/>
        <v>822509.99999999988</v>
      </c>
      <c r="K201" s="822">
        <v>104600</v>
      </c>
      <c r="L201" s="825"/>
    </row>
    <row r="202" spans="1:35">
      <c r="C202" s="870" t="s">
        <v>116</v>
      </c>
      <c r="D202" s="755" t="s">
        <v>153</v>
      </c>
      <c r="E202" s="716" t="s">
        <v>101</v>
      </c>
      <c r="F202" s="871">
        <v>1</v>
      </c>
      <c r="G202" s="872">
        <v>2.5</v>
      </c>
      <c r="H202" s="620">
        <v>69000</v>
      </c>
      <c r="I202" s="867" t="s">
        <v>173</v>
      </c>
      <c r="J202" s="887">
        <f t="shared" si="23"/>
        <v>172500</v>
      </c>
      <c r="K202" s="822">
        <v>99000</v>
      </c>
      <c r="L202" s="825"/>
    </row>
    <row r="203" spans="1:35">
      <c r="C203" s="677" t="s">
        <v>117</v>
      </c>
      <c r="D203" s="755" t="s">
        <v>155</v>
      </c>
      <c r="E203" s="715" t="s">
        <v>39</v>
      </c>
      <c r="F203" s="712">
        <v>7</v>
      </c>
      <c r="G203" s="759">
        <v>12.5</v>
      </c>
      <c r="H203" s="620">
        <v>82000</v>
      </c>
      <c r="I203" s="762" t="s">
        <v>118</v>
      </c>
      <c r="J203" s="888">
        <f t="shared" si="23"/>
        <v>1025000</v>
      </c>
      <c r="K203" s="822"/>
      <c r="L203" s="825"/>
    </row>
    <row r="204" spans="1:35" ht="16.5" thickBot="1">
      <c r="C204" s="763" t="s">
        <v>117</v>
      </c>
      <c r="D204" s="764" t="s">
        <v>155</v>
      </c>
      <c r="E204" s="765" t="s">
        <v>39</v>
      </c>
      <c r="F204" s="766">
        <v>3</v>
      </c>
      <c r="G204" s="767">
        <v>7.8</v>
      </c>
      <c r="H204" s="760">
        <v>82000</v>
      </c>
      <c r="I204" s="761" t="s">
        <v>164</v>
      </c>
      <c r="J204" s="821"/>
      <c r="K204" s="822"/>
      <c r="L204" s="825"/>
    </row>
    <row r="205" spans="1:35" ht="16.5" thickBot="1">
      <c r="C205" s="584"/>
      <c r="D205" s="584"/>
      <c r="E205" s="585"/>
      <c r="F205" s="585"/>
      <c r="G205" s="585"/>
      <c r="H205" s="586"/>
      <c r="I205" s="587"/>
      <c r="J205" s="821">
        <f>SUM(J186:J204)</f>
        <v>4815984</v>
      </c>
      <c r="K205" s="886"/>
      <c r="L205" s="820"/>
    </row>
    <row r="206" spans="1:35" ht="16.5" thickBot="1">
      <c r="C206" s="588" t="s">
        <v>105</v>
      </c>
      <c r="D206" s="589"/>
      <c r="E206" s="585"/>
      <c r="F206" s="584"/>
      <c r="G206" s="584"/>
      <c r="H206" s="590"/>
      <c r="I206" s="584"/>
      <c r="J206" s="754"/>
      <c r="K206" s="717"/>
    </row>
    <row r="207" spans="1:35" ht="16.5" thickBot="1">
      <c r="C207" s="1226"/>
      <c r="D207" s="1225"/>
      <c r="E207" s="585"/>
      <c r="F207" s="584"/>
      <c r="G207" s="584"/>
      <c r="H207" s="590"/>
      <c r="I207" s="584"/>
      <c r="J207" s="754"/>
      <c r="K207" s="717"/>
    </row>
    <row r="208" spans="1:35">
      <c r="C208" s="591" t="s">
        <v>106</v>
      </c>
      <c r="D208" s="583" t="s">
        <v>97</v>
      </c>
      <c r="E208" s="592" t="s">
        <v>101</v>
      </c>
      <c r="F208" s="593"/>
      <c r="G208" s="594">
        <v>8</v>
      </c>
      <c r="H208" s="595">
        <v>74000</v>
      </c>
      <c r="I208" s="596" t="s">
        <v>107</v>
      </c>
      <c r="J208" s="754"/>
      <c r="K208" s="717"/>
    </row>
    <row r="209" spans="3:10">
      <c r="C209" s="597" t="s">
        <v>108</v>
      </c>
      <c r="D209" s="603" t="s">
        <v>103</v>
      </c>
      <c r="E209" s="598" t="s">
        <v>101</v>
      </c>
      <c r="F209" s="599"/>
      <c r="G209" s="600">
        <v>108</v>
      </c>
      <c r="H209" s="601">
        <v>82000</v>
      </c>
      <c r="I209" s="602" t="s">
        <v>107</v>
      </c>
      <c r="J209" s="754"/>
    </row>
    <row r="210" spans="3:10">
      <c r="C210" s="597" t="s">
        <v>109</v>
      </c>
      <c r="D210" s="603" t="s">
        <v>103</v>
      </c>
      <c r="E210" s="598" t="s">
        <v>99</v>
      </c>
      <c r="F210" s="599"/>
      <c r="G210" s="600">
        <v>8</v>
      </c>
      <c r="H210" s="601">
        <v>75000</v>
      </c>
      <c r="I210" s="602" t="s">
        <v>107</v>
      </c>
      <c r="J210" s="754"/>
    </row>
    <row r="211" spans="3:10" ht="16.5" thickBot="1">
      <c r="C211" s="604" t="s">
        <v>110</v>
      </c>
      <c r="D211" s="605" t="s">
        <v>103</v>
      </c>
      <c r="E211" s="606" t="s">
        <v>99</v>
      </c>
      <c r="F211" s="607"/>
      <c r="G211" s="608">
        <v>11</v>
      </c>
      <c r="H211" s="609">
        <v>82000</v>
      </c>
      <c r="I211" s="610" t="s">
        <v>107</v>
      </c>
      <c r="J211" s="754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7"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47:A62"/>
    <mergeCell ref="A23:A38"/>
    <mergeCell ref="A16:A22"/>
    <mergeCell ref="A7:A15"/>
    <mergeCell ref="A39:A46"/>
    <mergeCell ref="N4:O4"/>
    <mergeCell ref="S5:S6"/>
    <mergeCell ref="M5:M6"/>
    <mergeCell ref="L4:M4"/>
    <mergeCell ref="Q5:Q6"/>
    <mergeCell ref="R5:R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186:O186"/>
    <mergeCell ref="M187:P187"/>
    <mergeCell ref="H184:H185"/>
    <mergeCell ref="F184:G184"/>
    <mergeCell ref="D184:D185"/>
    <mergeCell ref="E184:E185"/>
    <mergeCell ref="A63:A75"/>
    <mergeCell ref="A173:A176"/>
    <mergeCell ref="C184:C185"/>
    <mergeCell ref="A161:A164"/>
    <mergeCell ref="A146:A158"/>
    <mergeCell ref="C183:I183"/>
    <mergeCell ref="I184:I185"/>
    <mergeCell ref="A168:A171"/>
    <mergeCell ref="A100:A116"/>
    <mergeCell ref="A76:A99"/>
    <mergeCell ref="A117:A119"/>
    <mergeCell ref="A159:A160"/>
    <mergeCell ref="A166:A167"/>
    <mergeCell ref="A120:A136"/>
    <mergeCell ref="A137:A145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70 D80 B106 B116 D120:D121 D116 D127 D114" numberStoredAsText="1"/>
    <ignoredError sqref="E1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2024-02-13T08:43:58Z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